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Questa_cartella_di_lavoro" defaultThemeVersion="166925"/>
  <mc:AlternateContent xmlns:mc="http://schemas.openxmlformats.org/markup-compatibility/2006">
    <mc:Choice Requires="x15">
      <x15ac:absPath xmlns:x15ac="http://schemas.microsoft.com/office/spreadsheetml/2010/11/ac" url="C:\Users\loren\Dropbox\Assegnomantenimento.eu\"/>
    </mc:Choice>
  </mc:AlternateContent>
  <xr:revisionPtr revIDLastSave="0" documentId="8_{78432C5C-D648-41A5-A324-6F18B4ED7366}" xr6:coauthVersionLast="47" xr6:coauthVersionMax="47" xr10:uidLastSave="{00000000-0000-0000-0000-000000000000}"/>
  <workbookProtection workbookAlgorithmName="SHA-512" workbookHashValue="f2RVTm+uvZ8jVpc+RJFXcHiJ7B9kanM1GQ3yUNI8BryMvW5rh/6JmHYexXnMOg5DctPK7gPfYs+Xyyw+YdsEzQ==" workbookSaltValue="9iMXW0B2eNBy3nCYTlHwsA==" workbookSpinCount="100000" lockStructure="1"/>
  <bookViews>
    <workbookView xWindow="-110" yWindow="-110" windowWidth="19420" windowHeight="10540" tabRatio="841" activeTab="5" xr2:uid="{62743F40-B6F9-4B4A-A833-E9927BA14EBA}"/>
  </bookViews>
  <sheets>
    <sheet name="Copertina" sheetId="1" r:id="rId1"/>
    <sheet name="DatiFamiliari" sheetId="2" r:id="rId2"/>
    <sheet name="RettificaDatiFam" sheetId="16" r:id="rId3"/>
    <sheet name="SpeseFisse" sheetId="5" r:id="rId4"/>
    <sheet name="CostoCasaConiugale" sheetId="13" r:id="rId5"/>
    <sheet name="CostiPostSeparazione" sheetId="7" r:id="rId6"/>
    <sheet name="CalcoloAssegno" sheetId="8" r:id="rId7"/>
    <sheet name="RIEPILOGO" sheetId="4" r:id="rId8"/>
    <sheet name="Stampa" sheetId="15" r:id="rId9"/>
    <sheet name="Quote_Istat" sheetId="12" r:id="rId10"/>
    <sheet name="Fonti" sheetId="14" r:id="rId11"/>
  </sheets>
  <definedNames>
    <definedName name="AffittoCasaConiugale">SpeseFisse!$C$11</definedName>
    <definedName name="_xlnm.Print_Area" localSheetId="8">Stampa!$B$2:$C$36</definedName>
    <definedName name="AssegnoEquo">CalcoloAssegno!$C$17</definedName>
    <definedName name="AssegnoRidet">CalcoloAssegno!$C$33</definedName>
    <definedName name="CanoneLocCC">SpeseFisse!$C$10</definedName>
    <definedName name="CanoneLocCNC">SpeseFisse!$C$9</definedName>
    <definedName name="CostoAbbigliamento">SpeseFisse!$C$19</definedName>
    <definedName name="CostoCasaConiugale">CostoCasaConiugale!$C$7</definedName>
    <definedName name="CostoCasaConiugaleCC">CostoCasaConiugale!$C$14</definedName>
    <definedName name="CostoCasaConiugaleCNC">CostoCasaConiugale!$C$13</definedName>
    <definedName name="CostoCasaRilevante">CostoCasaConiugale!$C$12</definedName>
    <definedName name="CostoNuovaCasa">CostiPostSeparazione!$C$6</definedName>
    <definedName name="CostoNuovaCasaRilevante">CostiPostSeparazione!$C$8</definedName>
    <definedName name="FreqCC">DatiFamiliari!$C$30</definedName>
    <definedName name="FreqCNC">DatiFamiliari!$C$29</definedName>
    <definedName name="GodimentoCasaConiugale">CostoCasaConiugale!$C$16</definedName>
    <definedName name="MantenimentoDirettoCC">CalcoloAssegno!$C$6</definedName>
    <definedName name="MantenimentoDirettoCNC">CalcoloAssegno!$C$5</definedName>
    <definedName name="MutuoCC">SpeseFisse!$C$8</definedName>
    <definedName name="MutuoCNC">SpeseFisse!$C$7</definedName>
    <definedName name="NumeroFamiliari">DatiFamiliari!$C$14</definedName>
    <definedName name="NumeroFigli">DatiFamiliari!$C$13</definedName>
    <definedName name="PercSpeseStraord">DatiFamiliari!$C$21</definedName>
    <definedName name="PereqSemplice">CalcoloAssegno!$C$11</definedName>
    <definedName name="RedditoCC">DatiFamiliari!$C$20</definedName>
    <definedName name="RedditoCCNow">RettificaDatiFam!$C$14</definedName>
    <definedName name="RedditoCCPercRideterminato">CalcoloAssegno!#REF!</definedName>
    <definedName name="RedditoCCValNOW">RettificaDatiFam!$C$12</definedName>
    <definedName name="RedditoCCValore">DatiFamiliari!$C$16</definedName>
    <definedName name="RedditoCNC">DatiFamiliari!$C$19</definedName>
    <definedName name="RedditoCNCNow">RettificaDatiFam!$C$13</definedName>
    <definedName name="RedditoCNCPercRideterminato">CalcoloAssegno!#REF!</definedName>
    <definedName name="RedditoCNCValNOW">RettificaDatiFam!$C$11</definedName>
    <definedName name="RedditoCNCValore">DatiFamiliari!$C$15</definedName>
    <definedName name="RedditoFamAnnuo">RettificaDatiFam!$C$10</definedName>
    <definedName name="RedditoFamiliare">DatiFamiliari!$C$17</definedName>
    <definedName name="RedditoFamiliareNOW">RettificaDatiFam!$C$9</definedName>
    <definedName name="RisparmioPerc">SpeseFisse!$C$21</definedName>
    <definedName name="RisparmioValore">SpeseFisse!$C$24</definedName>
    <definedName name="SpesaOrdinariaTotale">SpeseFisse!$C$23</definedName>
    <definedName name="SpeseFisse">SpeseFisse!$C$22</definedName>
    <definedName name="TenoreVitaFigli">SpeseFisse!$C$26</definedName>
    <definedName name="TotMantDirettoIndirett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5" l="1"/>
  <c r="C12" i="16"/>
  <c r="C11" i="15" s="1"/>
  <c r="C11" i="16"/>
  <c r="C10" i="15" s="1"/>
  <c r="C8" i="16"/>
  <c r="C29" i="2"/>
  <c r="C18" i="15"/>
  <c r="C14" i="16" l="1"/>
  <c r="C14" i="15" s="1"/>
  <c r="C13" i="16"/>
  <c r="C13" i="15" s="1"/>
  <c r="C27" i="8"/>
  <c r="C30" i="8"/>
  <c r="C11" i="4"/>
  <c r="C8" i="4"/>
  <c r="C15" i="15"/>
  <c r="C7" i="15" l="1"/>
  <c r="C16" i="15" l="1"/>
  <c r="C13" i="2"/>
  <c r="C22" i="4" s="1"/>
  <c r="C16" i="13" l="1"/>
  <c r="C20" i="8" s="1"/>
  <c r="C7" i="7"/>
  <c r="C8" i="7" s="1"/>
  <c r="C24" i="4"/>
  <c r="C17" i="2"/>
  <c r="C8" i="15"/>
  <c r="C18" i="4"/>
  <c r="C35" i="15" s="1"/>
  <c r="I24" i="12"/>
  <c r="K33" i="12"/>
  <c r="J33" i="12"/>
  <c r="I33" i="12"/>
  <c r="K7" i="12"/>
  <c r="J7" i="12"/>
  <c r="I7" i="12"/>
  <c r="I20" i="12"/>
  <c r="C18" i="2" l="1"/>
  <c r="C9" i="16"/>
  <c r="E12" i="14"/>
  <c r="E16" i="14"/>
  <c r="E15" i="14"/>
  <c r="E14" i="14"/>
  <c r="E13" i="14"/>
  <c r="D12" i="14"/>
  <c r="D13" i="14"/>
  <c r="D14" i="14"/>
  <c r="D15" i="14"/>
  <c r="D16" i="14"/>
  <c r="B33" i="12"/>
  <c r="G19" i="12"/>
  <c r="F19" i="12"/>
  <c r="E19" i="12"/>
  <c r="D19" i="12"/>
  <c r="C19" i="12"/>
  <c r="B19" i="12"/>
  <c r="G7" i="12"/>
  <c r="F7" i="12"/>
  <c r="E7" i="12"/>
  <c r="D7" i="12"/>
  <c r="C7" i="12"/>
  <c r="B7" i="12"/>
  <c r="C9" i="13" l="1"/>
  <c r="K20" i="12" l="1"/>
  <c r="J20" i="12"/>
  <c r="K22" i="12"/>
  <c r="J22" i="12"/>
  <c r="I22" i="12"/>
  <c r="K21" i="12"/>
  <c r="J21" i="12"/>
  <c r="I21" i="12"/>
  <c r="C11" i="5"/>
  <c r="C30" i="2" l="1"/>
  <c r="C17" i="15" s="1"/>
  <c r="C12" i="13" l="1"/>
  <c r="C14" i="2"/>
  <c r="C19" i="2"/>
  <c r="C20" i="2"/>
  <c r="E10" i="4" l="1"/>
  <c r="E29" i="8"/>
  <c r="C21" i="8"/>
  <c r="E7" i="4"/>
  <c r="E26" i="8"/>
  <c r="C13" i="13"/>
  <c r="C9" i="15"/>
  <c r="C15" i="13"/>
  <c r="C14" i="13"/>
  <c r="C24" i="5"/>
  <c r="C19" i="5" s="1"/>
  <c r="C12" i="15"/>
  <c r="C10" i="16"/>
  <c r="C21" i="5" s="1"/>
  <c r="C23" i="5"/>
  <c r="C25" i="5" s="1"/>
  <c r="C26" i="5" s="1"/>
  <c r="C19" i="15" l="1"/>
  <c r="C5" i="8"/>
  <c r="C17" i="4"/>
  <c r="C7" i="8"/>
  <c r="C20" i="15"/>
  <c r="C6" i="8"/>
  <c r="C8" i="8"/>
  <c r="C24" i="15" s="1"/>
  <c r="C22" i="15" l="1"/>
  <c r="C23" i="15"/>
  <c r="C11" i="8"/>
  <c r="C21" i="15"/>
  <c r="C25" i="15" l="1"/>
  <c r="C19" i="8"/>
  <c r="C17" i="8" s="1"/>
  <c r="C29" i="8" s="1"/>
  <c r="C15" i="8"/>
  <c r="C27" i="15" s="1"/>
  <c r="C13" i="8"/>
  <c r="C26" i="15" s="1"/>
  <c r="C28" i="15" l="1"/>
  <c r="C25" i="8"/>
  <c r="C26" i="8"/>
  <c r="D29" i="8" l="1"/>
  <c r="C31" i="8"/>
  <c r="C28" i="8"/>
  <c r="D26" i="8"/>
  <c r="C32" i="8" s="1"/>
  <c r="C33" i="8" s="1"/>
  <c r="C6" i="4" l="1"/>
  <c r="C7" i="4"/>
  <c r="C10" i="4"/>
  <c r="C12" i="4" l="1"/>
  <c r="D10" i="4"/>
  <c r="C31" i="15"/>
  <c r="D7" i="4"/>
  <c r="C9" i="4"/>
  <c r="C30" i="15"/>
  <c r="C29" i="15"/>
  <c r="C25" i="4"/>
  <c r="C23" i="4"/>
  <c r="C14" i="4"/>
  <c r="C15" i="4"/>
  <c r="C34" i="15" s="1"/>
  <c r="D9" i="4" l="1"/>
  <c r="C33" i="15"/>
  <c r="C36" i="15" s="1"/>
  <c r="C16" i="4"/>
  <c r="C19" i="4" s="1"/>
  <c r="D12" i="4"/>
</calcChain>
</file>

<file path=xl/sharedStrings.xml><?xml version="1.0" encoding="utf-8"?>
<sst xmlns="http://schemas.openxmlformats.org/spreadsheetml/2006/main" count="253" uniqueCount="203">
  <si>
    <t>WWW.ASSEGNODIMANTENIMENTO.NET</t>
  </si>
  <si>
    <t>https://www.assegnodimantenimento.net/calcolatore-assegno-mantenimento</t>
  </si>
  <si>
    <t>Per informazioni, contatti, segnalazione di errori, si prega di scrivere a:</t>
  </si>
  <si>
    <t>assegnoequo@gmail.com</t>
  </si>
  <si>
    <t>In questi termini, l'importo calcolato da questo file, deve essere inteso come il tetto massimo, estremamente conservativo, al di sopra del quale nessun importo di mantenimento è oggettivamente giustificabile e conforme alla legge</t>
  </si>
  <si>
    <t>Legenda:</t>
  </si>
  <si>
    <t>CNC: coniuge non collocatario</t>
  </si>
  <si>
    <t>Celle modificabili</t>
  </si>
  <si>
    <t>CC: coniuge collocatario</t>
  </si>
  <si>
    <t>INPUT DATI FAMILIARI (su base mensile)</t>
  </si>
  <si>
    <t>Numero figli</t>
  </si>
  <si>
    <t>Componenti nucleo familiare</t>
  </si>
  <si>
    <t>(C) Percentuale reddito disponibile CNC</t>
  </si>
  <si>
    <t>(D) Percentuale reddito disponibile CC</t>
  </si>
  <si>
    <t>(E) Tempi frequentazione CNC</t>
  </si>
  <si>
    <t>(F) Tempi frequentazione CC</t>
  </si>
  <si>
    <t>INPUT SPESE DOCUMENTATE ANTE SEPARAZIONE (su base mensile)</t>
  </si>
  <si>
    <t>Residuo disponibile per mantenimento ordinario famiglia</t>
  </si>
  <si>
    <t>DATI NUOVA ABITAZIONE CNC</t>
  </si>
  <si>
    <t>Costo ordinario diretto CNC effettivamente pagato nei tempi di frequentazione (AxE)</t>
  </si>
  <si>
    <t>Costo ordinario diretto CC effettivamente pagato nei tempi di frequentazione (AxF)</t>
  </si>
  <si>
    <t>Costo teorico ordinario che CNC dovrebbe sostenere pro quota al reddito (AxC)</t>
  </si>
  <si>
    <t>Costo teorico ordinario che CC dovrebbe sostenere pro quota al reddito (AxC)</t>
  </si>
  <si>
    <t>Totale spese fisse familiari in costanza di matrimonio</t>
  </si>
  <si>
    <t>Avanti</t>
  </si>
  <si>
    <t>Indietro</t>
  </si>
  <si>
    <t>TENORE DI VITA ORDINARIO FIGLI ANTE SEPARAZIONE (A)</t>
  </si>
  <si>
    <t>SPESE ORDINARIE</t>
  </si>
  <si>
    <t>CAPITOLO DI SPESA</t>
  </si>
  <si>
    <t>NUMERO DI COMPONENTI</t>
  </si>
  <si>
    <t>Totale</t>
  </si>
  <si>
    <t>5 e più</t>
  </si>
  <si>
    <t>SPESA MEDIANA MENSILE</t>
  </si>
  <si>
    <t>SPESA MEDIA MENSILE (=100%)</t>
  </si>
  <si>
    <t>Prodotti alimentari e bevande analcoliche</t>
  </si>
  <si>
    <t>Pane e cereali</t>
  </si>
  <si>
    <t>Carni</t>
  </si>
  <si>
    <t>Pesci e prodotti ittici</t>
  </si>
  <si>
    <t>Latte, formaggi e uova</t>
  </si>
  <si>
    <t>Oli e grassi</t>
  </si>
  <si>
    <t>Frutta</t>
  </si>
  <si>
    <t>Vegetali</t>
  </si>
  <si>
    <t>Zucchero, confetture, miele, cioccolato e dolciumi</t>
  </si>
  <si>
    <t>Piatti pronti e altre preparazioni alimentari (prodotti alimentari  n.a.c.*)</t>
  </si>
  <si>
    <t>Caffè, tè e cacao</t>
  </si>
  <si>
    <t>Acque minerali, bevande analcoliche, succhi di frutta e verdura</t>
  </si>
  <si>
    <t>Non alimentare</t>
  </si>
  <si>
    <t>Bevande alcoliche e tabacchi</t>
  </si>
  <si>
    <t>Abbigliamento e calzature</t>
  </si>
  <si>
    <t>Abitazione, acqua, elettricità, gas e altri combustibili, di cui:</t>
  </si>
  <si>
    <t>Manutenzioni straordinarie</t>
  </si>
  <si>
    <t>Affitti figurativi</t>
  </si>
  <si>
    <t>Mobili, articoli e servizi per la casa</t>
  </si>
  <si>
    <t>Servizi sanitari e spese per la salute</t>
  </si>
  <si>
    <t>Trasporti</t>
  </si>
  <si>
    <t>Comunicazioni</t>
  </si>
  <si>
    <t>Ricreazione, spettacoli e cultura</t>
  </si>
  <si>
    <t>Istruzione</t>
  </si>
  <si>
    <t>Servizi ricettivi e di ristorazione</t>
  </si>
  <si>
    <t>Altri beni e servizi**</t>
  </si>
  <si>
    <r>
      <t>(a)</t>
    </r>
    <r>
      <rPr>
        <sz val="12"/>
        <color indexed="8"/>
        <rFont val="Arial Narrow"/>
        <family val="2"/>
      </rPr>
      <t xml:space="preserve"> La somma dei capitoli di spesa può differire da 100 per via degli arrotondamenti.</t>
    </r>
  </si>
  <si>
    <t>* Prodotti alimentari non altrove classificati, includono sale, spezie, condimenti e alimenti per bambini.</t>
  </si>
  <si>
    <t>** Includono beni e servizi per la cura della persona, effetti personali, servizi di assistenza sociale, assicurazioni e finanziari.</t>
  </si>
  <si>
    <t>&lt;- Percentuale di spesa ordinaria sul totale della spesa</t>
  </si>
  <si>
    <t>Percentuale di proprietà CNC</t>
  </si>
  <si>
    <t>Percentuale di proprietà CC</t>
  </si>
  <si>
    <t>DETERMINAZIONE DEL COSTO DELLA CASA CONIUGALE DI PROPRIETA'</t>
  </si>
  <si>
    <t>Contributo di CNC al costo della casa coniugale</t>
  </si>
  <si>
    <t>Contributo di CC al costo della casa coniugale</t>
  </si>
  <si>
    <t>Costo della casa coniugale rilevante ai fini della determinazione dell'assegno</t>
  </si>
  <si>
    <t>Quota del costo di affitto della nuova casa di cui beneficia CNC</t>
  </si>
  <si>
    <t>Quota del costo di affitto della nuova casa riferibile ai figli</t>
  </si>
  <si>
    <t>2) ASSEGNO COMPRESA CASA CONIUGALE (assegno perequativo più perequazione della casa coniugale)</t>
  </si>
  <si>
    <t>Valore locativo nuova casa CNC</t>
  </si>
  <si>
    <t>Valorizzazione del godimento della casa coniugale da parte di CC</t>
  </si>
  <si>
    <t>RIEPILOGO FINALE</t>
  </si>
  <si>
    <r>
      <t xml:space="preserve">PROSPETTO 4. SPESA MEDIANA MENSILE E SPESA MEDIA MENSILE DELLE FAMIGLIE PER NUMERO DI COMPONENTI. </t>
    </r>
    <r>
      <rPr>
        <sz val="12"/>
        <rFont val="Arial Narrow"/>
        <family val="2"/>
      </rPr>
      <t>Anno 2021, valori stimati in euro e composizione percentuale per capitolo di spesa rispetto al totale della spesa media mensile(a)</t>
    </r>
  </si>
  <si>
    <t>Ante assegno</t>
  </si>
  <si>
    <t>Post assegno</t>
  </si>
  <si>
    <t>Tabelle di Monza</t>
  </si>
  <si>
    <t>Percentuale del reddito coniuge obbligato</t>
  </si>
  <si>
    <t>Propensione al consumo delle famiglie (fonte Bankitalia)</t>
  </si>
  <si>
    <t>1º quintile</t>
  </si>
  <si>
    <t>2º quintile</t>
  </si>
  <si>
    <t>3º quintile</t>
  </si>
  <si>
    <t>4º quintile</t>
  </si>
  <si>
    <t>5º quintile</t>
  </si>
  <si>
    <t>Reddito medio</t>
  </si>
  <si>
    <t>Quintile</t>
  </si>
  <si>
    <t>Spesa media</t>
  </si>
  <si>
    <t>% reddito consumato</t>
  </si>
  <si>
    <r>
      <t xml:space="preserve">Quota mensile destinata a </t>
    </r>
    <r>
      <rPr>
        <b/>
        <sz val="11"/>
        <color theme="1"/>
        <rFont val="Calibri"/>
        <family val="2"/>
        <scheme val="minor"/>
      </rPr>
      <t>risparmio</t>
    </r>
    <r>
      <rPr>
        <sz val="11"/>
        <color theme="1"/>
        <rFont val="Calibri"/>
        <family val="2"/>
        <scheme val="minor"/>
      </rPr>
      <t xml:space="preserve"> (media Bankitalia per quintile di reddito familiare equivalente)</t>
    </r>
  </si>
  <si>
    <t>Risparmio</t>
  </si>
  <si>
    <t>Risparmio medio Bankitalia</t>
  </si>
  <si>
    <r>
      <rPr>
        <b/>
        <sz val="11"/>
        <color theme="1"/>
        <rFont val="Calibri"/>
        <family val="2"/>
        <scheme val="minor"/>
      </rPr>
      <t>Spesa straordinaria</t>
    </r>
    <r>
      <rPr>
        <sz val="11"/>
        <color theme="1"/>
        <rFont val="Calibri"/>
        <family val="2"/>
        <scheme val="minor"/>
      </rPr>
      <t xml:space="preserve"> specifica per </t>
    </r>
    <r>
      <rPr>
        <b/>
        <sz val="11"/>
        <color theme="1"/>
        <rFont val="Calibri"/>
        <family val="2"/>
        <scheme val="minor"/>
      </rPr>
      <t>figli</t>
    </r>
    <r>
      <rPr>
        <sz val="11"/>
        <color theme="1"/>
        <rFont val="Calibri"/>
        <family val="2"/>
        <scheme val="minor"/>
      </rPr>
      <t xml:space="preserve"> ante separazione (sport, scuola, vacanze, rette universitarie…) su base mensile (totale annuo/12)</t>
    </r>
  </si>
  <si>
    <r>
      <rPr>
        <b/>
        <sz val="11"/>
        <color theme="1"/>
        <rFont val="Calibri"/>
        <family val="2"/>
        <scheme val="minor"/>
      </rPr>
      <t xml:space="preserve">Spesa straordinaria </t>
    </r>
    <r>
      <rPr>
        <sz val="11"/>
        <color theme="1"/>
        <rFont val="Calibri"/>
        <family val="2"/>
        <scheme val="minor"/>
      </rPr>
      <t>specifica</t>
    </r>
    <r>
      <rPr>
        <b/>
        <sz val="11"/>
        <color theme="1"/>
        <rFont val="Calibri"/>
        <family val="2"/>
        <scheme val="minor"/>
      </rPr>
      <t xml:space="preserve"> </t>
    </r>
    <r>
      <rPr>
        <sz val="11"/>
        <color theme="1"/>
        <rFont val="Calibri"/>
        <family val="2"/>
        <scheme val="minor"/>
      </rPr>
      <t>per</t>
    </r>
    <r>
      <rPr>
        <b/>
        <sz val="11"/>
        <color theme="1"/>
        <rFont val="Calibri"/>
        <family val="2"/>
        <scheme val="minor"/>
      </rPr>
      <t xml:space="preserve"> CNC</t>
    </r>
    <r>
      <rPr>
        <sz val="11"/>
        <color theme="1"/>
        <rFont val="Calibri"/>
        <family val="2"/>
        <scheme val="minor"/>
      </rPr>
      <t xml:space="preserve"> ante separazione (es. palestra, dentista...) su base mensile (totale annuo/12)</t>
    </r>
  </si>
  <si>
    <r>
      <rPr>
        <b/>
        <sz val="11"/>
        <color theme="1"/>
        <rFont val="Calibri"/>
        <family val="2"/>
        <scheme val="minor"/>
      </rPr>
      <t xml:space="preserve">Spesa straordinaria </t>
    </r>
    <r>
      <rPr>
        <sz val="11"/>
        <color theme="1"/>
        <rFont val="Calibri"/>
        <family val="2"/>
        <scheme val="minor"/>
      </rPr>
      <t>specifica</t>
    </r>
    <r>
      <rPr>
        <b/>
        <sz val="11"/>
        <color theme="1"/>
        <rFont val="Calibri"/>
        <family val="2"/>
        <scheme val="minor"/>
      </rPr>
      <t xml:space="preserve"> </t>
    </r>
    <r>
      <rPr>
        <sz val="11"/>
        <color theme="1"/>
        <rFont val="Calibri"/>
        <family val="2"/>
        <scheme val="minor"/>
      </rPr>
      <t>per</t>
    </r>
    <r>
      <rPr>
        <b/>
        <sz val="11"/>
        <color theme="1"/>
        <rFont val="Calibri"/>
        <family val="2"/>
        <scheme val="minor"/>
      </rPr>
      <t xml:space="preserve"> CC</t>
    </r>
    <r>
      <rPr>
        <sz val="11"/>
        <color theme="1"/>
        <rFont val="Calibri"/>
        <family val="2"/>
        <scheme val="minor"/>
      </rPr>
      <t xml:space="preserve"> ante separazione (es. palestra, dentista...) su base mensile (totale annuo/12)</t>
    </r>
  </si>
  <si>
    <r>
      <t xml:space="preserve">Rata </t>
    </r>
    <r>
      <rPr>
        <b/>
        <sz val="11"/>
        <color theme="1"/>
        <rFont val="Calibri"/>
        <family val="2"/>
        <scheme val="minor"/>
      </rPr>
      <t>mutuo</t>
    </r>
    <r>
      <rPr>
        <sz val="11"/>
        <color theme="1"/>
        <rFont val="Calibri"/>
        <family val="2"/>
        <scheme val="minor"/>
      </rPr>
      <t xml:space="preserve"> mensile a carico di </t>
    </r>
    <r>
      <rPr>
        <b/>
        <sz val="11"/>
        <color theme="1"/>
        <rFont val="Calibri"/>
        <family val="2"/>
        <scheme val="minor"/>
      </rPr>
      <t>CNC</t>
    </r>
    <r>
      <rPr>
        <sz val="11"/>
        <color theme="1"/>
        <rFont val="Calibri"/>
        <family val="2"/>
        <scheme val="minor"/>
      </rPr>
      <t xml:space="preserve"> ante separazione</t>
    </r>
  </si>
  <si>
    <r>
      <t xml:space="preserve">Rata </t>
    </r>
    <r>
      <rPr>
        <b/>
        <sz val="11"/>
        <color theme="1"/>
        <rFont val="Calibri"/>
        <family val="2"/>
        <scheme val="minor"/>
      </rPr>
      <t>mutuo</t>
    </r>
    <r>
      <rPr>
        <sz val="11"/>
        <color theme="1"/>
        <rFont val="Calibri"/>
        <family val="2"/>
        <scheme val="minor"/>
      </rPr>
      <t xml:space="preserve"> mensile a carico di </t>
    </r>
    <r>
      <rPr>
        <b/>
        <sz val="11"/>
        <color theme="1"/>
        <rFont val="Calibri"/>
        <family val="2"/>
        <scheme val="minor"/>
      </rPr>
      <t>CC</t>
    </r>
    <r>
      <rPr>
        <sz val="11"/>
        <color theme="1"/>
        <rFont val="Calibri"/>
        <family val="2"/>
        <scheme val="minor"/>
      </rPr>
      <t xml:space="preserve"> ante separazione</t>
    </r>
  </si>
  <si>
    <r>
      <t xml:space="preserve">Canone </t>
    </r>
    <r>
      <rPr>
        <b/>
        <sz val="11"/>
        <color theme="1"/>
        <rFont val="Calibri"/>
        <family val="2"/>
        <scheme val="minor"/>
      </rPr>
      <t>affitto</t>
    </r>
    <r>
      <rPr>
        <sz val="11"/>
        <color theme="1"/>
        <rFont val="Calibri"/>
        <family val="2"/>
        <scheme val="minor"/>
      </rPr>
      <t xml:space="preserve"> mensile a carico di </t>
    </r>
    <r>
      <rPr>
        <b/>
        <sz val="11"/>
        <color theme="1"/>
        <rFont val="Calibri"/>
        <family val="2"/>
        <scheme val="minor"/>
      </rPr>
      <t>CNC</t>
    </r>
    <r>
      <rPr>
        <sz val="11"/>
        <color theme="1"/>
        <rFont val="Calibri"/>
        <family val="2"/>
        <scheme val="minor"/>
      </rPr>
      <t xml:space="preserve"> ante separazione</t>
    </r>
  </si>
  <si>
    <r>
      <t xml:space="preserve">Canone </t>
    </r>
    <r>
      <rPr>
        <b/>
        <sz val="11"/>
        <color theme="1"/>
        <rFont val="Calibri"/>
        <family val="2"/>
        <scheme val="minor"/>
      </rPr>
      <t>affitto</t>
    </r>
    <r>
      <rPr>
        <sz val="11"/>
        <color theme="1"/>
        <rFont val="Calibri"/>
        <family val="2"/>
        <scheme val="minor"/>
      </rPr>
      <t xml:space="preserve"> mensile a carico di </t>
    </r>
    <r>
      <rPr>
        <b/>
        <sz val="11"/>
        <color theme="1"/>
        <rFont val="Calibri"/>
        <family val="2"/>
        <scheme val="minor"/>
      </rPr>
      <t>CC</t>
    </r>
    <r>
      <rPr>
        <sz val="11"/>
        <color theme="1"/>
        <rFont val="Calibri"/>
        <family val="2"/>
        <scheme val="minor"/>
      </rPr>
      <t xml:space="preserve"> ante separazione</t>
    </r>
  </si>
  <si>
    <r>
      <t xml:space="preserve">Costo complessivo mensile </t>
    </r>
    <r>
      <rPr>
        <b/>
        <sz val="11"/>
        <color theme="1"/>
        <rFont val="Calibri"/>
        <family val="2"/>
        <scheme val="minor"/>
      </rPr>
      <t>affitto</t>
    </r>
    <r>
      <rPr>
        <sz val="11"/>
        <color theme="1"/>
        <rFont val="Calibri"/>
        <family val="2"/>
        <scheme val="minor"/>
      </rPr>
      <t xml:space="preserve"> casa coniugale</t>
    </r>
  </si>
  <si>
    <r>
      <t xml:space="preserve">Ulteriori </t>
    </r>
    <r>
      <rPr>
        <b/>
        <sz val="11"/>
        <color theme="1"/>
        <rFont val="Calibri"/>
        <family val="2"/>
        <scheme val="minor"/>
      </rPr>
      <t>rate finanziarie a carico di CNC</t>
    </r>
    <r>
      <rPr>
        <sz val="11"/>
        <color theme="1"/>
        <rFont val="Calibri"/>
        <family val="2"/>
        <scheme val="minor"/>
      </rPr>
      <t xml:space="preserve"> ante separazione (es. rata auto, frigorifero, Equitalia...)</t>
    </r>
  </si>
  <si>
    <r>
      <t xml:space="preserve">Ulteriori </t>
    </r>
    <r>
      <rPr>
        <b/>
        <sz val="11"/>
        <color theme="1"/>
        <rFont val="Calibri"/>
        <family val="2"/>
        <scheme val="minor"/>
      </rPr>
      <t>rate finanziarie a carico di CC</t>
    </r>
    <r>
      <rPr>
        <sz val="11"/>
        <color theme="1"/>
        <rFont val="Calibri"/>
        <family val="2"/>
        <scheme val="minor"/>
      </rPr>
      <t xml:space="preserve"> ante separazione (es. rata auto, frigorifero, Equitalia...)</t>
    </r>
  </si>
  <si>
    <r>
      <t xml:space="preserve">Ulteriore </t>
    </r>
    <r>
      <rPr>
        <b/>
        <sz val="11"/>
        <color theme="1"/>
        <rFont val="Calibri"/>
        <family val="2"/>
        <scheme val="minor"/>
      </rPr>
      <t>spesa straordinaria familiare</t>
    </r>
    <r>
      <rPr>
        <sz val="11"/>
        <color theme="1"/>
        <rFont val="Calibri"/>
        <family val="2"/>
        <scheme val="minor"/>
      </rPr>
      <t xml:space="preserve"> ante separazione (es. settimana bianca per famiglia) su base mensile (totale annuo/12)</t>
    </r>
  </si>
  <si>
    <t>Reddito residuo CNC al netto dei costi ordinari</t>
  </si>
  <si>
    <t>- di cui da destinare a spese straordinarie prole</t>
  </si>
  <si>
    <t>- di cui residuo per il proprio mantenimento ordinario e straordinario</t>
  </si>
  <si>
    <t>- di cui ristoro godimento casa coniugale da parte di CC</t>
  </si>
  <si>
    <t>- di cui concorso di CC a costo nuova abitazione CNC</t>
  </si>
  <si>
    <t>Quanto ricevono i figli:</t>
  </si>
  <si>
    <t>Mantenimento ordinario CNC</t>
  </si>
  <si>
    <t>Mantenimento ordinario CC</t>
  </si>
  <si>
    <t>Mantenimento straordinario</t>
  </si>
  <si>
    <t xml:space="preserve">Per calcolare l'assegno di mantenimento è necessario compilare le celle segnate in colore arancione, seguendo le istruzioni foglio per foglio. </t>
  </si>
  <si>
    <t>Maggiori informazioni sull'utilizzo, le modalità di compilazione del file, le ipotesi alla base dei criteri di calcolo, possono essere trovate al seguente indirizzo:</t>
  </si>
  <si>
    <t>L'uso del file è gratuito, è vietato l'utilizzo commerciale. Il diritto di proprietà appartiene a Lorenzo Cornia ed è riservato.</t>
  </si>
  <si>
    <t>Il calcolatore consente di determinare diversi importi dell'assegno a seconda dell'adesione dell'interprete a diverse correnti interpretative delle norme di riferimento. Tutte le celle non bloccate possono essere compilate o lasciate in bianco a discrezione dell'utente; a titolo esemplificativo, qualora l'utente non voglia attribuire un valore economico all'uso della casa coniugale di proprietà del genitore non collocatario da parte del genitore collocatario, è sufficiente non compilare la cella.</t>
  </si>
  <si>
    <t>La funzione del presente foglio è quella di determinare un importo dell'assegno di mantenimento per i figli il più possibile fedele ai requisiti previsti dall'articolo 337 ter c.c. e ai principi giuridici astratti enunciati dalla giurisprudenza prevalente. Poiché la maggior parte dei tribunali italiani, per la determinazione degli assegni di mantenimento, ricorre a metodi sommari basati per lo più sul reddito del coniuge obbligato, il presente foglio NON ha la funzione di pronosticare, nelle fasi iniziali di una separazione, l'ammontare dell'assegno che potrà essere determinato dal tribunale adito.
Il calcolatore determina, con approccio estremamente prudenziale e stimando sempre per eccesso i valori dovunque sia necessaria una valutazione soggettiva, quello che dovrebbe essere l'importo economicamente corretto, che rispetti il principio di proporzionalità previsto dalla legge, dell'assegno c.d. "perequativo" di mantenimento dei figli in caso di separazione e divorzio, come definito dalla giurisprudenza italiana, vale a dire l'importo che consenta ai figli di una coppia separata di mantenere inalterato il tenore di vita ante separazione, sia quando frequentano il coniuge collocatario che quando frequentano il coniuge non collocatario, rispettando i criteri previsti dall'art. 337 ter c.c. e la proporzionalità del contributo al mantenimento da parte di entrambi i genitori.</t>
  </si>
  <si>
    <t>QUESTO FILE E' LA DECLINAZIONE DEI PRINCIPI E DEGLI APPROFONDIMENTI DISPONIBILI SUL SITO</t>
  </si>
  <si>
    <t>Possibile assegno determinato da un tribunale italiano</t>
  </si>
  <si>
    <t>- tabelle di Monza</t>
  </si>
  <si>
    <t>Numero figli della coppia separata</t>
  </si>
  <si>
    <t>ASSEGNO DI MANTENIMENTO PER I FIGLI</t>
  </si>
  <si>
    <t>CALCOLO AI SENSI DELL'ART. 337 TER C.C.</t>
  </si>
  <si>
    <t>Reddito mensile disponibile Coniuge Non Collocatario</t>
  </si>
  <si>
    <t>Reddito mensile disponibile Coniuge Collocatario</t>
  </si>
  <si>
    <t>Reddito familiare complessivo</t>
  </si>
  <si>
    <t>% reddito Coniuge Non Collocatario</t>
  </si>
  <si>
    <t>% reddito Coniuge Collocatario</t>
  </si>
  <si>
    <t>Tempi di frequentazione Coniuge Non Collocatario</t>
  </si>
  <si>
    <t>Tempi di frequentazione Coniuge Collocatario</t>
  </si>
  <si>
    <t>Totale spese straordinarie</t>
  </si>
  <si>
    <t>Risparmi</t>
  </si>
  <si>
    <t>Tenore di vita ordinario dei minori</t>
  </si>
  <si>
    <t>1) ASSEGNO PEREQUATIVO SEMPLICE (senza casa coniugale)</t>
  </si>
  <si>
    <t xml:space="preserve">2) ASSEGNO COMPRESA CASA CONIUGALE </t>
  </si>
  <si>
    <t xml:space="preserve">4) ASSEGNO DI MANTENIMENTO ECONOMICAMENTE CORRETTO </t>
  </si>
  <si>
    <t>Reddito residuo CC al netto dei costi ordinari</t>
  </si>
  <si>
    <t>3) ASSEGNO PEREQUATIVO CON ABBIGLIAMENTO NON PROPORZIONALE</t>
  </si>
  <si>
    <t>Stampa</t>
  </si>
  <si>
    <t>Quota parte del costo della casa attribuibile ai figli</t>
  </si>
  <si>
    <t>Descrizione</t>
  </si>
  <si>
    <t>Dati</t>
  </si>
  <si>
    <r>
      <t xml:space="preserve">Sia la dottrina che la giurisprudenza hanno adottato posizioni non univoche in merito all'inclusione del costo della casa coniugale nella determinazione dell'assegno di mantenimento per i figli; secondo la giurisprudenza prevalente è vero da un lato che la perdita della disponibilità di un bene da parte del proprietario rappresenta un sacrificio suscettibile di valutazione economica; per converso, sostiene una diffusa giurisprudenza, l'assegnazione della casa coniugale è un provvedimento assunto nell'interesse dei figli di cui è legittimo tener conto ai fini dell'assegno di mantenimento al coniuge, ma non anche nella determinazione dell'assegno di mantenimento ai figli. In mancanza di un'interpretazione univoca, la dottrina ha ipotizzato vari metodi che tengano conto delle esigenze contrapposte (si veda il contributo di Carlotta Ippoliti Marini in </t>
    </r>
    <r>
      <rPr>
        <i/>
        <sz val="11"/>
        <color theme="0"/>
        <rFont val="Calibri"/>
        <family val="2"/>
        <scheme val="minor"/>
      </rPr>
      <t xml:space="preserve">Gli assegni di mantenimento tra disciplina legale e intelligenza artificiale, Torino, Giappichelli, 2020).
</t>
    </r>
    <r>
      <rPr>
        <sz val="11"/>
        <color theme="0"/>
        <rFont val="Calibri"/>
        <family val="2"/>
        <scheme val="minor"/>
      </rPr>
      <t>Questo calcolatore lascia all'interprete la scelta di includere o meno (non compilando la cella) il valore della casa coniugale nel computo dell'assegno di mantenimento per i figli, consentendo altresì di optare tra due metodi di calcolo (il riparto integrale del costo dell'abitazione, oppure il riparto della sola quota di costo di cui beneficia il coniuge collocatario). Si pensi a un immobile abitativo del valore di 1.000 euro, che viene assegnato a 2 figli minori; suddividendo, ancora una volta per ragioni prudenziali, il costo in quote uguali tra i componenti della famiglia, il costo riferibile al coniuge collocatario sarà pari a 333 euro; al fine di evitare arricchimenti indebiti di una parte, tale importo non può che restare a carico del CC, che in mancanza di coniugio avrebbe comunque dovuto sostenere il costo di un immobile, così come vi è costretto il CNC privato della disponibilità dell'abitazione; la quota residua di 666 euro rappresenta un costo di mantenimento dei figli che in qualche misura resta a carico del CNC; il calcolatore lascia all'utente la possibilità di includere o meno tale valore nel computo. 
Un corretto approccio scientifico imporrebbe di valorizzare l'apporto della casa coniugale, ma si registra una diffusa giurisprudenza contraria, per cui la compilazione di questo campo viene lasciata alla valutazione dell'utente.</t>
    </r>
  </si>
  <si>
    <t>www.assegnodimantenimento.net</t>
  </si>
  <si>
    <t>Nome famiglia</t>
  </si>
  <si>
    <t>Percentuale partecipazione spese straordinarie</t>
  </si>
  <si>
    <t>Percentuale spese straordinarie</t>
  </si>
  <si>
    <t>Totale mantenimento figli</t>
  </si>
  <si>
    <t>Importi</t>
  </si>
  <si>
    <t>Assegno calcolato</t>
  </si>
  <si>
    <t>Assegno rideterminato</t>
  </si>
  <si>
    <t>Rettifica assegno</t>
  </si>
  <si>
    <t>- importo fisso per figlio</t>
  </si>
  <si>
    <t>differenza</t>
  </si>
  <si>
    <t>Perc. Post</t>
  </si>
  <si>
    <t>Perc. Ante</t>
  </si>
  <si>
    <t>In questa sezione devono essere indicate tutte le uscite che gravavano sul bilancio familiare in costanza di matrimonio.
L'identificazione delle spese ricorrenti della famiglia ante separazione è funzionale da un lato alla conservazione della tenore di vita del minore, dall'altro alla conservazione della capacità di entrambi i genitori di garantire tale tenore di vita in seguito alla separazione; infatti, se la funzione dell'assegno di mantenimento è anche quella di garantire che il minore possa godere del medesimo tenore di vita con entrambi i genitori, è essenziale che uno dei due genitori non venga privato dei mezzi necessari per garantire tale tenore di vita.
L'enucleazione della quota di reddito familiare destinata alle spese straordinarie (spese che in maggior misura determinano il tenore di vita del minore) equivale a un accantonamento di bilancio al fine di garantire che entrambi i genitori siano in grado di concorrere al pagamento delle spese straordinarie.
Identificando le spese ricorrenti più significative che la famiglia sosteneva in costanza di matrimonio è possibile determinare la quota del reddito familiare che la famiglia destinava, per differenza, alla spesa ordinaria. Se ad esempio la famiglia aveva 2.000 euro di entrate  mensili, 500 euro di mutuo e 300 euro mensili per dentista e vacanze, la somma residua per il mantenimento ordinario di tutta la famiglia era di 1.200 euro al mese. 
Tale somma complessiva viene divisa per il numero di componenti della famiglia per determinare il costo di mantenimento ordinario dei figli; tale scelta è adottata in via prudenziale e tuzioristica, poiché è evidente che il costo di mantenimento ordinario di un minore è inferiore rispetto a quello di un adulto. Si tratta di un approccio teoricamente non corretto, ma, appunto, adottato in via prudenziale e volto a stimare per eccesso l'importo dell'assegno di mantenimento.
Il conteggio tiene conto anche delle spese voluttuarie destinate al tenore di vita dei coniugi; di tali importi si tiene conto nel limite della capienza del reddito complessivo familiare; lo scopo non è garantire la continuità del tenore di vita dei genitori in seguito alla separazione, ma solo evitare che i minori godano di un immotivato incremento del tenore di vita, o che uno dei due coniugi si arricchisca indebitamente rispetto all'altro; il tutto nel pieno rispetto del dettato normativo. Tali somme vengono intaccate prioritariamente qualora il reddito dei due nuclei familiari post separazione non sia in grado di garantire il tenore di vita dei minori.
Il risultato di questo foglio è la quota di reddito familiare che, in costanza di matrimonio, al netto del reddito destinato a spese straordinarie, veniva destinato al mantenimento del "tenore di vita ordinario" dei figli. A titolo esemplificativo, si tratta della liquidità familiare che era disponibile per l'acquisto di abiti, di un giocattolo nuovo o per il pagamento di una cena periodica in pizzeria, limitatamente alla quota destinata ai figli.</t>
  </si>
  <si>
    <t>- subtotale mantenimento ordinario</t>
  </si>
  <si>
    <t>- tenore di vita ordinario ante separazione</t>
  </si>
  <si>
    <t>Si tratta di un prospetto di sintesi finale dove viene rappresentato l'importo che veniva destinato dalla famiglia al mantenimento ordinario dei figli ante separazione, l'importo che viene garantito post separazione grazie alla determinazione dell'assegno, e il reddito residuo di cui dispongono i coniugi al netto dell'assegno. 
La funzione è verificare se, una volta garantita la conservazione del tenore di vita ordinario e straordinario dei figli, si sia verificato un indebito arricchimento di una parte rispetto all'altra rispetto ai redditi disponibili e se entrambi i coniugi dispongano del reddito minimo necessario.</t>
  </si>
  <si>
    <t>5) ASSEGNO PEREQUATIVO</t>
  </si>
  <si>
    <t>ASSEGNO PEREQUATIVO</t>
  </si>
  <si>
    <r>
      <t xml:space="preserve">Regime di frequentazione </t>
    </r>
    <r>
      <rPr>
        <b/>
        <sz val="11"/>
        <color rgb="FFFF0000"/>
        <rFont val="Calibri"/>
        <family val="2"/>
        <scheme val="minor"/>
      </rPr>
      <t>(selezionare solo una delle opzioni)</t>
    </r>
  </si>
  <si>
    <t>Liquidità mensile disponibile Coniuge Non Collocatario (CNC)</t>
  </si>
  <si>
    <t>Liquidità mensile disponibile Coniuge Collocatario (CC)</t>
  </si>
  <si>
    <t>Nome della famiglia</t>
  </si>
  <si>
    <t>Quota mantenimento ordinario figli (totale/numero componenti famiglia*numero figli)</t>
  </si>
  <si>
    <r>
      <t xml:space="preserve">Ulteriori </t>
    </r>
    <r>
      <rPr>
        <b/>
        <sz val="11"/>
        <color theme="1"/>
        <rFont val="Calibri"/>
        <family val="2"/>
        <scheme val="minor"/>
      </rPr>
      <t>spese straordinarie</t>
    </r>
    <r>
      <rPr>
        <sz val="11"/>
        <color theme="1"/>
        <rFont val="Calibri"/>
        <family val="2"/>
        <scheme val="minor"/>
      </rPr>
      <t xml:space="preserve"> (es. riparazione imprevista automobile)</t>
    </r>
  </si>
  <si>
    <t>Weekend alternati e un giorno di frequentazione infrasettimanale (selezionare da tendina)</t>
  </si>
  <si>
    <t>Weekend alternati e due giorni di frequentazione infrasettimanale (selezionare da tendina)</t>
  </si>
  <si>
    <t>Paritario (selezionare da tendina)</t>
  </si>
  <si>
    <t>Collocamento esclusivo presso CC (selezionare da tendina)</t>
  </si>
  <si>
    <r>
      <t xml:space="preserve">In questa sezione bisogna inserire i dati familiari (su </t>
    </r>
    <r>
      <rPr>
        <b/>
        <u/>
        <sz val="11"/>
        <color theme="0"/>
        <rFont val="Calibri"/>
        <family val="2"/>
        <scheme val="minor"/>
      </rPr>
      <t>base mensile</t>
    </r>
    <r>
      <rPr>
        <sz val="11"/>
        <color theme="0"/>
        <rFont val="Calibri"/>
        <family val="2"/>
        <scheme val="minor"/>
      </rPr>
      <t xml:space="preserve">). 
Nel campo </t>
    </r>
    <r>
      <rPr>
        <b/>
        <u/>
        <sz val="11"/>
        <color theme="0"/>
        <rFont val="Calibri"/>
        <family val="2"/>
        <scheme val="minor"/>
      </rPr>
      <t>reddito</t>
    </r>
    <r>
      <rPr>
        <sz val="11"/>
        <color theme="0"/>
        <rFont val="Calibri"/>
        <family val="2"/>
        <scheme val="minor"/>
      </rPr>
      <t xml:space="preserve"> occorre inserire le entrate nette mensili di ciascun coniuge; si tratta della somma liquida mensile di cui ciascun coniuge disponeva, in costanza di matrimonio, per far fronte alle spese familiari (non necessariamente corrisponde al reddito fiscale); per i lavoratori dipendenti è la busta paga netta, da rideterminare su base mensile in caso di mensilità superiori a 12; per le altre categorie di lavoratori è necessario stimare le entrate medie mensili disponibili per i consumi della famiglia (non necessariamente corrisponde al reddito fiscale).
Per la determinazione dei </t>
    </r>
    <r>
      <rPr>
        <b/>
        <u/>
        <sz val="11"/>
        <color theme="0"/>
        <rFont val="Calibri"/>
        <family val="2"/>
        <scheme val="minor"/>
      </rPr>
      <t>tempi di frequentazione</t>
    </r>
    <r>
      <rPr>
        <sz val="11"/>
        <color theme="0"/>
        <rFont val="Calibri"/>
        <family val="2"/>
        <scheme val="minor"/>
      </rPr>
      <t xml:space="preserve"> vengono proposti i regimi di collocamento più diffusi oppure, in via residuale una stima basata sul numero dei pasti consumati al mese con ciascun genitore; selezionare solo una delle opzioni dalla tendina oppure digitare il numero di pasti.</t>
    </r>
  </si>
  <si>
    <t>(B) Liquidità familiare mensile ante separazione</t>
  </si>
  <si>
    <t>Liquidità familiare annua</t>
  </si>
  <si>
    <t>Valore locativo casa coniugale (valore di mercato di un canone di locazione per un immobile equivalente alla casa coniugale)</t>
  </si>
  <si>
    <t>Si vuole tenere conto complessivamente dell'assegnazione della casa coniugale nel computo dell'assegno?</t>
  </si>
  <si>
    <t>Si vuole tenere conto dell'assegnazione della casa coniugale limitatamente al godimento da parte di CC?</t>
  </si>
  <si>
    <t>3) ASSEGNO PEREQUATIVO CON COSTO DELL'ABBIGLIAMENTO NON PROPORZIONALE AI TEMPI DI FREQUENTAZIONE</t>
  </si>
  <si>
    <t>Determinazione degli oneri di mantenimento da parte dei genitori</t>
  </si>
  <si>
    <t>Costo ordinario diretto effettivamente pagato da CNC nei tempi di frequentazione (AxE)</t>
  </si>
  <si>
    <t>Costo ordinario diretto effettivamente pagato da CC nei tempi di frequentazione (AxF)</t>
  </si>
  <si>
    <t>1) ASSEGNO PEREQUATIVO SEMPLICE (senza valorizzazione componente immobiliare)</t>
  </si>
  <si>
    <t>Selezionare assegno perequativo semplice (1) o con abbigliamento non proporzionale (3)</t>
  </si>
  <si>
    <t>Controllo di sostenibilità</t>
  </si>
  <si>
    <t>- di cui assegno perequativo</t>
  </si>
  <si>
    <t>In questa sezione il costo complessivo di mantenimento ordinario viene ripartito automaticamente tra i coniugi in proporzione ai rispettivi redditi e tempi di frequentazione, tenendo conto di quanto ciascun coniuge spende in via diretta nei propri tempi di frequentazione. 
Tutti i costi vengono suddivisi in proporzione ai tempi di frequentazione, sul presupposto che, tanto più tempo il minore trascorre con un genitore, tanto più consumerà, in maniera direttamente proporzionale, cibo, energia elettrica, benzina, ecc. Unica eccezione, tra le spese tipicamente qualificate come ordinarie, è l'abbigliamento, che potrebbe essere più a carico di un genitore, indipendentemente dai tempi di frequentazione. Viene così determinato anche, su base Istat, il costo dell'abbigliamento; in questo modo, qualora si voglia adottare un criterio di massima tutela del coniuge collocatario, il calcolatore determina anche un importo prudenziale che, oltre alla ripartizione pro quota del costo di mantenimento ordinario della prole, imputa integralmente il costo dell'abbigliamento al genitore non collocatario.
Il calcolatore determina, a beneficio dell'interprete, quattro importi, coerenti con gli orientamenti più diffusi nella prassi giudiziaria: 
1) l'assegno perequativo "semplice": si tratta dell'importo che garantisce che tutte le risorse familiari siano ripartite equamente tra i due coniugi in modo che entrambi possano garantire ai figli il medesimo tenore di vita; tale importo non considera l'eventuale costo della casa coniugale che sia rimasto a carico di CNC né l'eventuale costo della nuova casa a carico di CNC a seguito della separazione. Si tratta di un importo particolarmente penalizzante per CNC, coerentemente con la giurisprudenza più focalizzata sull'esclusivo interesse dei figli
2) l'assegno comprensivo della componente immobiliare: si tratta della somma che il CNC deve corrispondere al CC al netto del contributo di CNC al pagamento del costo della casa coniugale; in questo importo non è compreso il costo della nuova casa che CNC deve reperire dopo la separazione
3) assegno di mantenimento + costo dell'abbigliamento: si tratta dell'assegno perequativo calcolato nell'ipotesi che all'acquisto dell'abbigliamento provveda solo il genitore collocatario
4) assegno di mantenimento equo: è la ripartizione del costo complessivo del mantenimento in modo proporzionale ai redditi e ai tempi di frequentazione, che tiene conto del tenore di vita che i genitori sono materialmente in grado di garantire ai figli, considerati i costi post separazione, lasciando il più possibile inalterato il tenore di vita dei figli ante separazione.
Una volta determinato l'assegno, viene effettuato un controllo di sostenibilità da parte di entrambi i coniugi e, se necessario, una rideterminazione dell'assegno al fine di rispettare la proporzionalità.</t>
  </si>
  <si>
    <t>Costo abbigliamento figli</t>
  </si>
  <si>
    <t>Calcolo dell'assegno</t>
  </si>
  <si>
    <t>In questa sezione può essere inserito il costo dell'abitazione che il coniuge non collocatario deve sostenere, non potendo più disporre della casa coniugale; tale costo evidentemente riduce la liquidità disponibile del coniuge non collocatario e se ne deve tenere conto qualora si voglia rispettare la funzione propria dell'assegno di mantenimento, che è quella di garantire che entrambi i nuclei familiari possano garantire ai figli lo stesso tenore di vita; inoltre, qualora CNC trascorra tempi di frequentazione significativi con i figli, si tratta di un costo destinato alla conservazione del tenore di vita dei figli, che secondo parte della giurisprudenza deve essere computato ai fini della determinazione dell'assegno di mantenimento. Tuttavia alcuni tribunali, attenti solo al parametro del tenore di vita goduto dai figli in costanza di matrimonio, non tengono conto dei maggiori costi che il coniuge non collocatario deve sostenere a seguito della separazione; qualora si voglia aderire a questo orientamento, è sufficiente non compilare questa cella.
L'inclusione di tale valore nel calcolo non riduce necessariamente il tenore di vita dei figli ante separazione, poiché nel calcolo si tiene conto anche delle spese voluttuarie dei genitori ante separazione, che vengono intaccate prioritariamente e fino a concorrenza di queste.
Per ragioni di equità, il costo della nuova abitazione viene assunto nei limiti del valore del costo della casa coniugale.</t>
  </si>
  <si>
    <t>4) ASSEGNO DI MANTENIMENTO ECONOMICAMENTE CORRETTO (concorso proporzionale al mantenimento dei figli da parte dei genitori )</t>
  </si>
  <si>
    <t>RETTIFICA DATI FAMILIARI (su base mensile)</t>
  </si>
  <si>
    <t>(B) Liquidità familiare mensile</t>
  </si>
  <si>
    <t>Check compilazione</t>
  </si>
  <si>
    <t>Liquidità mensile disponibile attuale Coniuge Non Collocatario (CNC)</t>
  </si>
  <si>
    <t>Liquidità mensile disponibile attuale Coniuge Collocatario (CC)</t>
  </si>
  <si>
    <t>(C) Percentuale reddito disponibile attuale CNC</t>
  </si>
  <si>
    <t>(D) Percentuale reddito disponibile attuale CC</t>
  </si>
  <si>
    <t>Numero di pasti con CNC in un mese di 28 giorni (digitare importo)</t>
  </si>
  <si>
    <t>Si vuole stimare la quota media destinata al risparmio? (selezionare da tendina)</t>
  </si>
  <si>
    <r>
      <t xml:space="preserve">La funzione della </t>
    </r>
    <r>
      <rPr>
        <b/>
        <u/>
        <sz val="11"/>
        <color theme="0"/>
        <rFont val="Calibri"/>
        <family val="2"/>
        <scheme val="minor"/>
      </rPr>
      <t>pagina precedente</t>
    </r>
    <r>
      <rPr>
        <sz val="11"/>
        <color theme="0"/>
        <rFont val="Calibri"/>
        <family val="2"/>
        <scheme val="minor"/>
      </rPr>
      <t xml:space="preserve"> è l'inserimento dei </t>
    </r>
    <r>
      <rPr>
        <b/>
        <u/>
        <sz val="11"/>
        <color theme="0"/>
        <rFont val="Calibri"/>
        <family val="2"/>
        <scheme val="minor"/>
      </rPr>
      <t>dati storici</t>
    </r>
    <r>
      <rPr>
        <sz val="11"/>
        <color theme="0"/>
        <rFont val="Calibri"/>
        <family val="2"/>
        <scheme val="minor"/>
      </rPr>
      <t xml:space="preserve"> allo scopo di determinare il tenore familiare goduto dalla famiglia in costanza di matrimonio; in alcuni casi potrebbe essere utile rettificare i dati storici adeguandoli allo stato attuale; in </t>
    </r>
    <r>
      <rPr>
        <b/>
        <u/>
        <sz val="11"/>
        <color theme="0"/>
        <rFont val="Calibri"/>
        <family val="2"/>
        <scheme val="minor"/>
      </rPr>
      <t>questa tabella</t>
    </r>
    <r>
      <rPr>
        <sz val="11"/>
        <color theme="0"/>
        <rFont val="Calibri"/>
        <family val="2"/>
        <scheme val="minor"/>
      </rPr>
      <t xml:space="preserve">, quindi, è possibile inserire i </t>
    </r>
    <r>
      <rPr>
        <b/>
        <u/>
        <sz val="11"/>
        <color theme="0"/>
        <rFont val="Calibri"/>
        <family val="2"/>
        <scheme val="minor"/>
      </rPr>
      <t>dati attuali</t>
    </r>
    <r>
      <rPr>
        <sz val="11"/>
        <color theme="0"/>
        <rFont val="Calibri"/>
        <family val="2"/>
        <scheme val="minor"/>
      </rPr>
      <t>, sia per tenere conto di significative variazioni intervenute, sia per valutare l'attuale sostenibilità a consuntivo di un assegno determinato su dati storici.
Inoltre, nella prassi giudiziaria è frequente imporre un contributo minimo anche a coniugi che sono sprovvisti di reddito, o lo erano in costanza di matrimonio; questa tabella consente l'inserimento di un reddito minimo figurativo a tale scopo.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</si>
</sst>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
    <numFmt numFmtId="167" formatCode="#,##0_ ;\-#,##0\ "/>
    <numFmt numFmtId="168" formatCode="_-* #,##0\ &quot;€&quot;_-;\-* #,##0\ &quot;€&quot;_-;_-* &quot;-&quot;??\ &quot;€&quot;_-;_-@_-"/>
  </numFmts>
  <fonts count="29" x14ac:knownFonts="1">
    <font>
      <sz val="11"/>
      <color theme="1"/>
      <name val="Calibri"/>
      <family val="2"/>
      <scheme val="minor"/>
    </font>
    <font>
      <sz val="11"/>
      <color theme="1"/>
      <name val="Calibri"/>
      <family val="2"/>
      <scheme val="minor"/>
    </font>
    <font>
      <sz val="11"/>
      <color rgb="FF3F3F76"/>
      <name val="Calibri"/>
      <family val="2"/>
      <scheme val="minor"/>
    </font>
    <font>
      <b/>
      <sz val="11"/>
      <color theme="1"/>
      <name val="Calibri"/>
      <family val="2"/>
      <scheme val="minor"/>
    </font>
    <font>
      <u/>
      <sz val="11"/>
      <color theme="10"/>
      <name val="Calibri"/>
      <family val="2"/>
      <scheme val="minor"/>
    </font>
    <font>
      <b/>
      <u/>
      <sz val="11"/>
      <color theme="1"/>
      <name val="Calibri"/>
      <family val="2"/>
      <scheme val="minor"/>
    </font>
    <font>
      <b/>
      <u val="singleAccounting"/>
      <sz val="11"/>
      <color theme="1"/>
      <name val="Calibri"/>
      <family val="2"/>
      <scheme val="minor"/>
    </font>
    <font>
      <u/>
      <sz val="11"/>
      <color theme="1"/>
      <name val="Calibri"/>
      <family val="2"/>
      <scheme val="minor"/>
    </font>
    <font>
      <u/>
      <sz val="11"/>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2"/>
      <name val="Arial Narrow"/>
      <family val="2"/>
    </font>
    <font>
      <sz val="12"/>
      <name val="Arial Narrow"/>
      <family val="2"/>
    </font>
    <font>
      <b/>
      <sz val="12"/>
      <color theme="1"/>
      <name val="Arial Narrow"/>
      <family val="2"/>
    </font>
    <font>
      <b/>
      <sz val="12"/>
      <color rgb="FF000000"/>
      <name val="Arial Narrow"/>
      <family val="2"/>
    </font>
    <font>
      <b/>
      <sz val="12"/>
      <color rgb="FFFFFFFF"/>
      <name val="Arial Narrow"/>
      <family val="2"/>
    </font>
    <font>
      <b/>
      <sz val="12"/>
      <color theme="0"/>
      <name val="Arial Narrow"/>
      <family val="2"/>
    </font>
    <font>
      <sz val="12"/>
      <color rgb="FF000000"/>
      <name val="Arial Narrow"/>
      <family val="2"/>
    </font>
    <font>
      <i/>
      <sz val="12"/>
      <color rgb="FF000000"/>
      <name val="Arial Narrow"/>
      <family val="2"/>
    </font>
    <font>
      <i/>
      <sz val="12"/>
      <name val="Arial Narrow"/>
      <family val="2"/>
    </font>
    <font>
      <vertAlign val="superscript"/>
      <sz val="12"/>
      <color rgb="FF000000"/>
      <name val="Arial Narrow"/>
      <family val="2"/>
    </font>
    <font>
      <sz val="12"/>
      <color indexed="8"/>
      <name val="Arial Narrow"/>
      <family val="2"/>
    </font>
    <font>
      <b/>
      <sz val="11"/>
      <color theme="0"/>
      <name val="Calibri"/>
      <family val="2"/>
      <scheme val="minor"/>
    </font>
    <font>
      <sz val="11"/>
      <color theme="0"/>
      <name val="Calibri"/>
      <family val="2"/>
      <scheme val="minor"/>
    </font>
    <font>
      <b/>
      <u/>
      <sz val="11"/>
      <color theme="0"/>
      <name val="Calibri"/>
      <family val="2"/>
      <scheme val="minor"/>
    </font>
    <font>
      <i/>
      <sz val="11"/>
      <color theme="0"/>
      <name val="Calibri"/>
      <family val="2"/>
      <scheme val="minor"/>
    </font>
    <font>
      <sz val="11"/>
      <name val="Calibri"/>
      <family val="2"/>
      <scheme val="minor"/>
    </font>
    <font>
      <b/>
      <sz val="11"/>
      <color rgb="FFFF0000"/>
      <name val="Calibri"/>
      <family val="2"/>
      <scheme val="minor"/>
    </font>
  </fonts>
  <fills count="21">
    <fill>
      <patternFill patternType="none"/>
    </fill>
    <fill>
      <patternFill patternType="gray125"/>
    </fill>
    <fill>
      <patternFill patternType="solid">
        <fgColor rgb="FFFFCC99"/>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E6E6E6"/>
        <bgColor indexed="64"/>
      </patternFill>
    </fill>
    <fill>
      <patternFill patternType="solid">
        <fgColor rgb="FF003366"/>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bgColor indexed="64"/>
      </patternFill>
    </fill>
    <fill>
      <patternFill patternType="solid">
        <fgColor theme="4" tint="-0.49998474074526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8"/>
        <bgColor theme="8"/>
      </patternFill>
    </fill>
    <fill>
      <patternFill patternType="solid">
        <fgColor theme="4" tint="0.39997558519241921"/>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rgb="FF333333"/>
      </bottom>
      <diagonal/>
    </border>
    <border>
      <left style="thin">
        <color indexed="64"/>
      </left>
      <right style="thin">
        <color indexed="64"/>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rgb="FFFF0000"/>
      </top>
      <bottom style="thin">
        <color rgb="FFFF0000"/>
      </bottom>
      <diagonal/>
    </border>
    <border>
      <left/>
      <right style="thin">
        <color indexed="64"/>
      </right>
      <top style="thin">
        <color rgb="FFFF0000"/>
      </top>
      <bottom style="thin">
        <color rgb="FFFF000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4" fillId="0" borderId="0" applyNumberFormat="0" applyFill="0" applyBorder="0" applyAlignment="0" applyProtection="0"/>
  </cellStyleXfs>
  <cellXfs count="189">
    <xf numFmtId="0" fontId="0" fillId="0" borderId="0" xfId="0"/>
    <xf numFmtId="43" fontId="0" fillId="0" borderId="0" xfId="1" applyFont="1" applyProtection="1"/>
    <xf numFmtId="0" fontId="2" fillId="2" borderId="2" xfId="3" applyBorder="1" applyAlignment="1" applyProtection="1">
      <alignment horizontal="center" vertical="center"/>
    </xf>
    <xf numFmtId="0" fontId="0" fillId="4" borderId="5" xfId="0" applyFill="1" applyBorder="1"/>
    <xf numFmtId="164" fontId="0" fillId="5" borderId="6" xfId="1" applyNumberFormat="1" applyFont="1" applyFill="1" applyBorder="1" applyProtection="1">
      <protection locked="0"/>
    </xf>
    <xf numFmtId="164" fontId="3" fillId="4" borderId="6" xfId="1" applyNumberFormat="1" applyFont="1" applyFill="1" applyBorder="1" applyProtection="1"/>
    <xf numFmtId="164" fontId="0" fillId="4" borderId="6" xfId="1" applyNumberFormat="1" applyFont="1" applyFill="1" applyBorder="1" applyProtection="1"/>
    <xf numFmtId="9" fontId="0" fillId="4" borderId="6" xfId="1" applyNumberFormat="1" applyFont="1" applyFill="1" applyBorder="1" applyProtection="1"/>
    <xf numFmtId="9" fontId="0" fillId="5" borderId="6" xfId="2" applyFont="1" applyFill="1" applyBorder="1" applyProtection="1">
      <protection locked="0"/>
    </xf>
    <xf numFmtId="0" fontId="0" fillId="4" borderId="7" xfId="0" applyFill="1" applyBorder="1"/>
    <xf numFmtId="9" fontId="0" fillId="4" borderId="8" xfId="1" applyNumberFormat="1" applyFont="1" applyFill="1" applyBorder="1" applyProtection="1"/>
    <xf numFmtId="9" fontId="0" fillId="0" borderId="0" xfId="1" applyNumberFormat="1" applyFont="1" applyBorder="1" applyProtection="1"/>
    <xf numFmtId="9" fontId="0" fillId="0" borderId="0" xfId="1" applyNumberFormat="1" applyFont="1" applyProtection="1"/>
    <xf numFmtId="164" fontId="0" fillId="0" borderId="0" xfId="1" applyNumberFormat="1" applyFont="1" applyProtection="1"/>
    <xf numFmtId="0" fontId="9" fillId="4" borderId="3" xfId="0" applyFont="1" applyFill="1" applyBorder="1"/>
    <xf numFmtId="164" fontId="9" fillId="4" borderId="4" xfId="1" applyNumberFormat="1" applyFont="1" applyFill="1" applyBorder="1" applyProtection="1"/>
    <xf numFmtId="164" fontId="9" fillId="4" borderId="8" xfId="1" applyNumberFormat="1" applyFont="1" applyFill="1" applyBorder="1" applyProtection="1"/>
    <xf numFmtId="0" fontId="0" fillId="4" borderId="3" xfId="0" applyFill="1" applyBorder="1"/>
    <xf numFmtId="164" fontId="0" fillId="5" borderId="4" xfId="1" applyNumberFormat="1" applyFont="1" applyFill="1" applyBorder="1" applyProtection="1">
      <protection locked="0"/>
    </xf>
    <xf numFmtId="0" fontId="11" fillId="0" borderId="0" xfId="0" applyFont="1" applyAlignment="1">
      <alignment vertical="center"/>
    </xf>
    <xf numFmtId="0" fontId="15" fillId="8" borderId="16" xfId="0" applyFont="1" applyFill="1" applyBorder="1" applyAlignment="1">
      <alignment horizontal="right" vertical="center"/>
    </xf>
    <xf numFmtId="0" fontId="15" fillId="0" borderId="16" xfId="0" applyFont="1" applyBorder="1" applyAlignment="1">
      <alignment horizontal="right" vertical="center"/>
    </xf>
    <xf numFmtId="0" fontId="16" fillId="9" borderId="16" xfId="0" applyFont="1" applyFill="1" applyBorder="1" applyAlignment="1">
      <alignment vertical="center"/>
    </xf>
    <xf numFmtId="4" fontId="17" fillId="9" borderId="16" xfId="0" applyNumberFormat="1" applyFont="1" applyFill="1" applyBorder="1" applyAlignment="1">
      <alignment horizontal="right" vertical="center"/>
    </xf>
    <xf numFmtId="0" fontId="15" fillId="0" borderId="16" xfId="0" applyFont="1" applyBorder="1" applyAlignment="1">
      <alignment vertical="center" wrapText="1"/>
    </xf>
    <xf numFmtId="166" fontId="11" fillId="0" borderId="0" xfId="0" applyNumberFormat="1" applyFont="1" applyAlignment="1">
      <alignment vertical="center"/>
    </xf>
    <xf numFmtId="0" fontId="18" fillId="0" borderId="17" xfId="0" applyFont="1" applyBorder="1" applyAlignment="1">
      <alignment horizontal="left" vertical="center" wrapText="1"/>
    </xf>
    <xf numFmtId="0" fontId="15" fillId="0" borderId="17" xfId="0" applyFont="1" applyBorder="1" applyAlignment="1">
      <alignment horizontal="left" vertical="center" wrapText="1"/>
    </xf>
    <xf numFmtId="0" fontId="18" fillId="6" borderId="17" xfId="0" applyFont="1" applyFill="1" applyBorder="1" applyAlignment="1">
      <alignment horizontal="left" vertical="center" wrapText="1"/>
    </xf>
    <xf numFmtId="0" fontId="18" fillId="0" borderId="16" xfId="0" applyFont="1" applyBorder="1" applyAlignment="1">
      <alignment horizontal="left" vertical="center" wrapText="1"/>
    </xf>
    <xf numFmtId="0" fontId="15" fillId="0" borderId="15" xfId="0" applyFont="1" applyBorder="1" applyAlignment="1">
      <alignment horizontal="left" vertical="center" wrapText="1"/>
    </xf>
    <xf numFmtId="0" fontId="21" fillId="0" borderId="0" xfId="0" applyFont="1" applyAlignment="1">
      <alignment vertical="center"/>
    </xf>
    <xf numFmtId="0" fontId="18" fillId="0" borderId="0" xfId="0" applyFont="1" applyAlignment="1">
      <alignment vertical="center"/>
    </xf>
    <xf numFmtId="9" fontId="10" fillId="11" borderId="11" xfId="2" applyFont="1" applyFill="1" applyBorder="1" applyAlignment="1">
      <alignment vertical="center"/>
    </xf>
    <xf numFmtId="9" fontId="10" fillId="11" borderId="13" xfId="2" applyFont="1" applyFill="1" applyBorder="1" applyAlignment="1">
      <alignment vertical="center"/>
    </xf>
    <xf numFmtId="9" fontId="10" fillId="11" borderId="12" xfId="2" applyFont="1" applyFill="1" applyBorder="1" applyAlignment="1">
      <alignment vertical="center"/>
    </xf>
    <xf numFmtId="0" fontId="11" fillId="6" borderId="0" xfId="0" applyFont="1" applyFill="1" applyAlignment="1">
      <alignment vertical="center"/>
    </xf>
    <xf numFmtId="43" fontId="4" fillId="7" borderId="2" xfId="4" applyNumberFormat="1" applyFill="1" applyBorder="1" applyProtection="1"/>
    <xf numFmtId="0" fontId="4" fillId="7" borderId="2" xfId="4" applyFill="1" applyBorder="1"/>
    <xf numFmtId="9" fontId="0" fillId="4" borderId="6" xfId="2" applyFont="1" applyFill="1" applyBorder="1" applyProtection="1"/>
    <xf numFmtId="164" fontId="7" fillId="3" borderId="6" xfId="1" applyNumberFormat="1" applyFont="1" applyFill="1" applyBorder="1" applyProtection="1"/>
    <xf numFmtId="167" fontId="8" fillId="3" borderId="6" xfId="1" applyNumberFormat="1" applyFont="1" applyFill="1" applyBorder="1" applyAlignment="1" applyProtection="1"/>
    <xf numFmtId="165" fontId="13" fillId="8" borderId="16" xfId="2" applyNumberFormat="1" applyFont="1" applyFill="1" applyBorder="1" applyAlignment="1">
      <alignment horizontal="right" vertical="center"/>
    </xf>
    <xf numFmtId="165" fontId="13" fillId="0" borderId="16" xfId="2" applyNumberFormat="1" applyFont="1" applyBorder="1" applyAlignment="1">
      <alignment horizontal="right" vertical="center"/>
    </xf>
    <xf numFmtId="9" fontId="12" fillId="8" borderId="16" xfId="2" applyFont="1" applyFill="1" applyBorder="1" applyAlignment="1">
      <alignment horizontal="right" vertical="center"/>
    </xf>
    <xf numFmtId="165" fontId="12" fillId="8" borderId="16" xfId="2" applyNumberFormat="1" applyFont="1" applyFill="1" applyBorder="1" applyAlignment="1">
      <alignment horizontal="right" vertical="center"/>
    </xf>
    <xf numFmtId="165" fontId="12" fillId="0" borderId="16" xfId="2" applyNumberFormat="1" applyFont="1" applyBorder="1" applyAlignment="1">
      <alignment horizontal="right" vertical="center"/>
    </xf>
    <xf numFmtId="165" fontId="13" fillId="6" borderId="16" xfId="2" applyNumberFormat="1" applyFont="1" applyFill="1" applyBorder="1" applyAlignment="1">
      <alignment horizontal="right" vertical="center"/>
    </xf>
    <xf numFmtId="165" fontId="13" fillId="10" borderId="16" xfId="2" applyNumberFormat="1" applyFont="1" applyFill="1" applyBorder="1" applyAlignment="1">
      <alignment horizontal="right" vertical="center"/>
    </xf>
    <xf numFmtId="165" fontId="20" fillId="8" borderId="16" xfId="2" applyNumberFormat="1" applyFont="1" applyFill="1" applyBorder="1" applyAlignment="1">
      <alignment horizontal="right" vertical="center"/>
    </xf>
    <xf numFmtId="165" fontId="20" fillId="0" borderId="16" xfId="2" applyNumberFormat="1" applyFont="1" applyBorder="1" applyAlignment="1">
      <alignment horizontal="right" vertical="center"/>
    </xf>
    <xf numFmtId="165" fontId="20" fillId="6" borderId="16" xfId="2" applyNumberFormat="1" applyFont="1" applyFill="1" applyBorder="1" applyAlignment="1">
      <alignment horizontal="right" vertical="center"/>
    </xf>
    <xf numFmtId="165" fontId="20" fillId="10" borderId="16" xfId="2" applyNumberFormat="1" applyFont="1" applyFill="1" applyBorder="1" applyAlignment="1">
      <alignment horizontal="right" vertical="center"/>
    </xf>
    <xf numFmtId="0" fontId="19" fillId="0" borderId="17" xfId="0" applyFont="1" applyBorder="1" applyAlignment="1">
      <alignment horizontal="left" vertical="center" wrapText="1" indent="2"/>
    </xf>
    <xf numFmtId="0" fontId="19" fillId="6" borderId="17" xfId="0" applyFont="1" applyFill="1" applyBorder="1" applyAlignment="1">
      <alignment horizontal="left" vertical="center" wrapText="1" indent="2"/>
    </xf>
    <xf numFmtId="9" fontId="15" fillId="0" borderId="16" xfId="2" applyFont="1" applyBorder="1" applyAlignment="1">
      <alignment horizontal="right" vertical="center" wrapText="1"/>
    </xf>
    <xf numFmtId="0" fontId="0" fillId="0" borderId="2" xfId="0" applyBorder="1"/>
    <xf numFmtId="9" fontId="0" fillId="0" borderId="2" xfId="0" applyNumberFormat="1" applyBorder="1"/>
    <xf numFmtId="0" fontId="3" fillId="12" borderId="2" xfId="0" applyFont="1" applyFill="1" applyBorder="1"/>
    <xf numFmtId="0" fontId="3" fillId="0" borderId="0" xfId="0" applyFont="1"/>
    <xf numFmtId="0" fontId="3" fillId="0" borderId="2" xfId="0" applyFont="1" applyBorder="1"/>
    <xf numFmtId="9" fontId="0" fillId="4" borderId="2" xfId="2" applyFont="1" applyFill="1" applyBorder="1" applyProtection="1"/>
    <xf numFmtId="43" fontId="0" fillId="0" borderId="2" xfId="1" applyFont="1" applyBorder="1"/>
    <xf numFmtId="9" fontId="11" fillId="12" borderId="2" xfId="2" applyFont="1" applyFill="1" applyBorder="1" applyAlignment="1">
      <alignment vertical="center"/>
    </xf>
    <xf numFmtId="9" fontId="11" fillId="12" borderId="11" xfId="2" applyFont="1" applyFill="1" applyBorder="1" applyAlignment="1">
      <alignment vertical="center"/>
    </xf>
    <xf numFmtId="9" fontId="11" fillId="12" borderId="13" xfId="2" applyFont="1" applyFill="1" applyBorder="1" applyAlignment="1">
      <alignment vertical="center"/>
    </xf>
    <xf numFmtId="9" fontId="11" fillId="12" borderId="12" xfId="2" applyFont="1" applyFill="1" applyBorder="1" applyAlignment="1">
      <alignment vertical="center"/>
    </xf>
    <xf numFmtId="9" fontId="0" fillId="0" borderId="2" xfId="2" applyFont="1" applyBorder="1"/>
    <xf numFmtId="0" fontId="0" fillId="4" borderId="5" xfId="0" quotePrefix="1" applyFill="1" applyBorder="1"/>
    <xf numFmtId="0" fontId="0" fillId="13" borderId="0" xfId="0" applyFill="1"/>
    <xf numFmtId="164" fontId="7" fillId="13" borderId="6" xfId="1" applyNumberFormat="1" applyFont="1" applyFill="1" applyBorder="1" applyProtection="1"/>
    <xf numFmtId="167" fontId="8" fillId="13" borderId="6" xfId="1" applyNumberFormat="1" applyFont="1" applyFill="1" applyBorder="1" applyAlignment="1" applyProtection="1"/>
    <xf numFmtId="164" fontId="1" fillId="13" borderId="6" xfId="1" applyNumberFormat="1" applyFont="1" applyFill="1" applyBorder="1" applyProtection="1"/>
    <xf numFmtId="9" fontId="0" fillId="13" borderId="0" xfId="2" applyFont="1" applyFill="1" applyBorder="1" applyProtection="1"/>
    <xf numFmtId="164" fontId="0" fillId="4" borderId="4" xfId="1" applyNumberFormat="1" applyFont="1" applyFill="1" applyBorder="1" applyProtection="1"/>
    <xf numFmtId="0" fontId="3" fillId="4" borderId="5" xfId="0" quotePrefix="1" applyFont="1" applyFill="1" applyBorder="1"/>
    <xf numFmtId="9" fontId="0" fillId="13" borderId="11" xfId="2" applyFont="1" applyFill="1" applyBorder="1" applyProtection="1"/>
    <xf numFmtId="0" fontId="5" fillId="0" borderId="0" xfId="0" applyFont="1"/>
    <xf numFmtId="43" fontId="0" fillId="0" borderId="0" xfId="0" applyNumberFormat="1"/>
    <xf numFmtId="0" fontId="7" fillId="4" borderId="5" xfId="0" applyFont="1" applyFill="1" applyBorder="1"/>
    <xf numFmtId="164" fontId="0" fillId="0" borderId="0" xfId="0" applyNumberFormat="1"/>
    <xf numFmtId="0" fontId="4" fillId="0" borderId="0" xfId="4" applyProtection="1"/>
    <xf numFmtId="164" fontId="7" fillId="4" borderId="6" xfId="1" applyNumberFormat="1" applyFont="1" applyFill="1" applyBorder="1" applyProtection="1"/>
    <xf numFmtId="0" fontId="0" fillId="4" borderId="3" xfId="0" applyFill="1" applyBorder="1" applyAlignment="1">
      <alignment vertical="top" wrapText="1"/>
    </xf>
    <xf numFmtId="0" fontId="0" fillId="4" borderId="5" xfId="0" applyFill="1" applyBorder="1" applyAlignment="1">
      <alignment vertical="top" wrapText="1"/>
    </xf>
    <xf numFmtId="164" fontId="9" fillId="4" borderId="6" xfId="1" applyNumberFormat="1" applyFont="1" applyFill="1" applyBorder="1" applyProtection="1"/>
    <xf numFmtId="0" fontId="9" fillId="4" borderId="5" xfId="0" quotePrefix="1" applyFont="1" applyFill="1" applyBorder="1"/>
    <xf numFmtId="0" fontId="9" fillId="4" borderId="5" xfId="0" quotePrefix="1" applyFont="1" applyFill="1" applyBorder="1" applyAlignment="1">
      <alignment horizontal="left" indent="1"/>
    </xf>
    <xf numFmtId="0" fontId="7" fillId="4" borderId="5" xfId="0" quotePrefix="1" applyFont="1" applyFill="1" applyBorder="1"/>
    <xf numFmtId="0" fontId="0" fillId="4" borderId="2" xfId="0" applyFill="1" applyBorder="1"/>
    <xf numFmtId="0" fontId="7" fillId="4" borderId="2" xfId="0" quotePrefix="1" applyFont="1" applyFill="1" applyBorder="1"/>
    <xf numFmtId="0" fontId="0" fillId="4" borderId="2" xfId="0" quotePrefix="1" applyFill="1" applyBorder="1"/>
    <xf numFmtId="0" fontId="0" fillId="0" borderId="2" xfId="0" applyBorder="1" applyAlignment="1">
      <alignment horizontal="right"/>
    </xf>
    <xf numFmtId="9" fontId="0" fillId="0" borderId="2" xfId="2" applyFont="1" applyBorder="1" applyAlignment="1">
      <alignment horizontal="right"/>
    </xf>
    <xf numFmtId="43" fontId="4" fillId="4" borderId="0" xfId="4" applyNumberFormat="1" applyFill="1" applyProtection="1"/>
    <xf numFmtId="164" fontId="0" fillId="0" borderId="2" xfId="1" applyNumberFormat="1" applyFont="1" applyBorder="1" applyAlignment="1">
      <alignment horizontal="right"/>
    </xf>
    <xf numFmtId="0" fontId="5" fillId="4" borderId="5" xfId="0" applyFont="1" applyFill="1" applyBorder="1"/>
    <xf numFmtId="164" fontId="6" fillId="4" borderId="6" xfId="1" applyNumberFormat="1" applyFont="1" applyFill="1" applyBorder="1" applyProtection="1"/>
    <xf numFmtId="0" fontId="0" fillId="4" borderId="0" xfId="0" applyFill="1" applyAlignment="1">
      <alignment horizontal="center"/>
    </xf>
    <xf numFmtId="0" fontId="0" fillId="4" borderId="6" xfId="0" applyFill="1" applyBorder="1" applyAlignment="1">
      <alignment horizontal="center"/>
    </xf>
    <xf numFmtId="0" fontId="0" fillId="4" borderId="5" xfId="0" applyFill="1" applyBorder="1" applyAlignment="1">
      <alignment horizontal="center"/>
    </xf>
    <xf numFmtId="0" fontId="0" fillId="4" borderId="0" xfId="0" applyFill="1"/>
    <xf numFmtId="0" fontId="0" fillId="4" borderId="6" xfId="0" applyFill="1" applyBorder="1"/>
    <xf numFmtId="0" fontId="25" fillId="15" borderId="3" xfId="0" applyFont="1" applyFill="1" applyBorder="1"/>
    <xf numFmtId="43" fontId="24" fillId="15" borderId="4" xfId="1" applyFont="1" applyFill="1" applyBorder="1" applyProtection="1"/>
    <xf numFmtId="0" fontId="25" fillId="15" borderId="11" xfId="0" applyFont="1" applyFill="1" applyBorder="1"/>
    <xf numFmtId="43" fontId="24" fillId="15" borderId="12" xfId="1" applyFont="1" applyFill="1" applyBorder="1" applyProtection="1"/>
    <xf numFmtId="164" fontId="24" fillId="15" borderId="4" xfId="1" applyNumberFormat="1" applyFont="1" applyFill="1" applyBorder="1" applyProtection="1"/>
    <xf numFmtId="0" fontId="23" fillId="16" borderId="3" xfId="0" applyFont="1" applyFill="1" applyBorder="1"/>
    <xf numFmtId="0" fontId="0" fillId="4" borderId="18" xfId="0" quotePrefix="1" applyFill="1" applyBorder="1"/>
    <xf numFmtId="164" fontId="0" fillId="0" borderId="18" xfId="1" applyNumberFormat="1" applyFont="1" applyBorder="1" applyAlignment="1">
      <alignment horizontal="right"/>
    </xf>
    <xf numFmtId="0" fontId="5" fillId="4" borderId="2" xfId="0" applyFont="1" applyFill="1" applyBorder="1"/>
    <xf numFmtId="164" fontId="5" fillId="0" borderId="2" xfId="1" applyNumberFormat="1" applyFont="1" applyBorder="1" applyAlignment="1">
      <alignment horizontal="right"/>
    </xf>
    <xf numFmtId="1" fontId="0" fillId="0" borderId="0" xfId="0" applyNumberFormat="1"/>
    <xf numFmtId="0" fontId="5" fillId="4" borderId="2" xfId="0" quotePrefix="1" applyFont="1" applyFill="1" applyBorder="1"/>
    <xf numFmtId="164" fontId="24" fillId="16" borderId="4" xfId="1" applyNumberFormat="1" applyFont="1" applyFill="1" applyBorder="1" applyAlignment="1" applyProtection="1">
      <alignment horizontal="right"/>
    </xf>
    <xf numFmtId="0" fontId="9" fillId="0" borderId="0" xfId="0" applyFont="1" applyAlignment="1">
      <alignment vertical="center" wrapText="1"/>
    </xf>
    <xf numFmtId="167" fontId="8" fillId="17" borderId="6" xfId="1" applyNumberFormat="1" applyFont="1" applyFill="1" applyBorder="1" applyProtection="1">
      <protection locked="0"/>
    </xf>
    <xf numFmtId="9" fontId="0" fillId="15" borderId="0" xfId="2" applyFont="1" applyFill="1" applyBorder="1" applyProtection="1"/>
    <xf numFmtId="164" fontId="0" fillId="4" borderId="21" xfId="1" applyNumberFormat="1" applyFont="1" applyFill="1" applyBorder="1" applyProtection="1"/>
    <xf numFmtId="164" fontId="0" fillId="4" borderId="22" xfId="1" applyNumberFormat="1" applyFont="1" applyFill="1" applyBorder="1" applyProtection="1"/>
    <xf numFmtId="0" fontId="9" fillId="4" borderId="7" xfId="0" quotePrefix="1" applyFont="1" applyFill="1" applyBorder="1" applyAlignment="1">
      <alignment horizontal="left" indent="1"/>
    </xf>
    <xf numFmtId="0" fontId="9" fillId="4" borderId="5" xfId="0" quotePrefix="1" applyFont="1" applyFill="1" applyBorder="1" applyAlignment="1">
      <alignment horizontal="left"/>
    </xf>
    <xf numFmtId="0" fontId="0" fillId="15" borderId="0" xfId="0" applyFill="1"/>
    <xf numFmtId="168" fontId="0" fillId="15" borderId="0" xfId="0" applyNumberFormat="1" applyFill="1"/>
    <xf numFmtId="0" fontId="0" fillId="4" borderId="19" xfId="0" applyFill="1" applyBorder="1"/>
    <xf numFmtId="168" fontId="0" fillId="0" borderId="0" xfId="0" applyNumberFormat="1"/>
    <xf numFmtId="9" fontId="0" fillId="0" borderId="0" xfId="2" applyFont="1" applyBorder="1" applyProtection="1"/>
    <xf numFmtId="0" fontId="0" fillId="4" borderId="19" xfId="0" quotePrefix="1" applyFill="1" applyBorder="1"/>
    <xf numFmtId="0" fontId="0" fillId="4" borderId="20" xfId="0" applyFill="1" applyBorder="1"/>
    <xf numFmtId="43" fontId="0" fillId="13" borderId="0" xfId="1" applyFont="1" applyFill="1" applyBorder="1" applyProtection="1"/>
    <xf numFmtId="164" fontId="6" fillId="0" borderId="2" xfId="1" applyNumberFormat="1" applyFont="1" applyBorder="1" applyAlignment="1">
      <alignment horizontal="right"/>
    </xf>
    <xf numFmtId="0" fontId="27" fillId="0" borderId="0" xfId="0" applyFont="1"/>
    <xf numFmtId="0" fontId="0" fillId="13" borderId="5" xfId="0" applyFill="1" applyBorder="1"/>
    <xf numFmtId="0" fontId="7" fillId="13" borderId="5" xfId="0" applyFont="1" applyFill="1" applyBorder="1"/>
    <xf numFmtId="0" fontId="8" fillId="13" borderId="5" xfId="0" applyFont="1" applyFill="1" applyBorder="1"/>
    <xf numFmtId="0" fontId="0" fillId="0" borderId="3" xfId="0" applyBorder="1"/>
    <xf numFmtId="0" fontId="0" fillId="0" borderId="4" xfId="0" applyBorder="1"/>
    <xf numFmtId="43" fontId="0" fillId="13" borderId="0" xfId="1" applyFont="1" applyFill="1" applyProtection="1"/>
    <xf numFmtId="0" fontId="23" fillId="19" borderId="23" xfId="0" applyFont="1" applyFill="1" applyBorder="1"/>
    <xf numFmtId="0" fontId="23" fillId="19" borderId="24" xfId="0" applyFont="1" applyFill="1" applyBorder="1"/>
    <xf numFmtId="9" fontId="0" fillId="5" borderId="8" xfId="2" applyFont="1" applyFill="1" applyBorder="1" applyProtection="1">
      <protection locked="0"/>
    </xf>
    <xf numFmtId="9" fontId="0" fillId="5" borderId="6" xfId="1" applyNumberFormat="1" applyFont="1" applyFill="1" applyBorder="1" applyProtection="1">
      <protection locked="0"/>
    </xf>
    <xf numFmtId="0" fontId="0" fillId="13" borderId="0" xfId="0" applyFill="1" applyAlignment="1">
      <alignment vertical="top" wrapText="1"/>
    </xf>
    <xf numFmtId="164" fontId="0" fillId="13" borderId="0" xfId="1" applyNumberFormat="1" applyFont="1" applyFill="1" applyBorder="1" applyProtection="1"/>
    <xf numFmtId="0" fontId="0" fillId="20" borderId="0" xfId="0" applyFill="1" applyAlignment="1">
      <alignment vertical="top" wrapText="1"/>
    </xf>
    <xf numFmtId="0" fontId="0" fillId="20" borderId="0" xfId="0" applyFill="1"/>
    <xf numFmtId="164" fontId="0" fillId="4" borderId="8" xfId="1" applyNumberFormat="1" applyFont="1" applyFill="1" applyBorder="1" applyProtection="1"/>
    <xf numFmtId="0" fontId="25" fillId="18" borderId="25" xfId="0" applyFont="1" applyFill="1" applyBorder="1"/>
    <xf numFmtId="167" fontId="25" fillId="18" borderId="26" xfId="1" applyNumberFormat="1" applyFont="1" applyFill="1" applyBorder="1" applyProtection="1"/>
    <xf numFmtId="0" fontId="27" fillId="4" borderId="5" xfId="0" quotePrefix="1" applyFont="1" applyFill="1" applyBorder="1" applyAlignment="1">
      <alignment horizontal="left" indent="1"/>
    </xf>
    <xf numFmtId="0" fontId="8" fillId="4" borderId="5" xfId="0" quotePrefix="1" applyFont="1" applyFill="1" applyBorder="1" applyAlignment="1">
      <alignment horizontal="left" indent="1"/>
    </xf>
    <xf numFmtId="0" fontId="8" fillId="4" borderId="7" xfId="0" quotePrefix="1" applyFont="1" applyFill="1" applyBorder="1" applyAlignment="1">
      <alignment horizontal="left" indent="1"/>
    </xf>
    <xf numFmtId="167" fontId="8" fillId="4" borderId="6" xfId="1" applyNumberFormat="1" applyFont="1" applyFill="1" applyBorder="1" applyProtection="1"/>
    <xf numFmtId="167" fontId="8" fillId="4" borderId="8" xfId="1" applyNumberFormat="1" applyFont="1" applyFill="1" applyBorder="1" applyProtection="1"/>
    <xf numFmtId="164" fontId="7" fillId="3" borderId="6" xfId="1" applyNumberFormat="1" applyFont="1" applyFill="1" applyBorder="1" applyAlignment="1" applyProtection="1">
      <alignment horizontal="right"/>
    </xf>
    <xf numFmtId="0" fontId="23" fillId="20" borderId="11" xfId="0" applyFont="1" applyFill="1" applyBorder="1" applyAlignment="1">
      <alignment vertical="top" wrapText="1"/>
    </xf>
    <xf numFmtId="0" fontId="23" fillId="20" borderId="12" xfId="0" applyFont="1" applyFill="1" applyBorder="1" applyAlignment="1">
      <alignment vertical="top" wrapText="1"/>
    </xf>
    <xf numFmtId="0" fontId="8" fillId="3" borderId="5" xfId="0" applyFont="1" applyFill="1" applyBorder="1"/>
    <xf numFmtId="0" fontId="7" fillId="3" borderId="5" xfId="0" applyFont="1" applyFill="1" applyBorder="1"/>
    <xf numFmtId="0" fontId="4" fillId="0" borderId="0" xfId="4"/>
    <xf numFmtId="0" fontId="0" fillId="4" borderId="5" xfId="0" applyFill="1" applyBorder="1" applyAlignment="1">
      <alignment horizontal="center"/>
    </xf>
    <xf numFmtId="0" fontId="0" fillId="4" borderId="0" xfId="0" applyFill="1" applyAlignment="1">
      <alignment horizontal="center"/>
    </xf>
    <xf numFmtId="0" fontId="0" fillId="4" borderId="6" xfId="0" applyFill="1" applyBorder="1" applyAlignment="1">
      <alignment horizontal="center"/>
    </xf>
    <xf numFmtId="0" fontId="0" fillId="4" borderId="3" xfId="0" applyFill="1" applyBorder="1" applyAlignment="1">
      <alignment horizontal="center"/>
    </xf>
    <xf numFmtId="0" fontId="0" fillId="4" borderId="9" xfId="0" applyFill="1" applyBorder="1" applyAlignment="1">
      <alignment horizontal="center"/>
    </xf>
    <xf numFmtId="0" fontId="0" fillId="4" borderId="4" xfId="0" applyFill="1" applyBorder="1" applyAlignment="1">
      <alignment horizontal="center"/>
    </xf>
    <xf numFmtId="0" fontId="4" fillId="4" borderId="5" xfId="4" applyFill="1" applyBorder="1" applyAlignment="1">
      <alignment horizontal="center"/>
    </xf>
    <xf numFmtId="0" fontId="0" fillId="4" borderId="5" xfId="0" applyFill="1" applyBorder="1" applyAlignment="1">
      <alignment horizontal="center" vertical="top" wrapText="1"/>
    </xf>
    <xf numFmtId="0" fontId="0" fillId="4" borderId="0" xfId="0" applyFill="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4" borderId="10" xfId="0" applyFill="1" applyBorder="1" applyAlignment="1">
      <alignment horizontal="center" vertical="top" wrapText="1"/>
    </xf>
    <xf numFmtId="0" fontId="0" fillId="4" borderId="8" xfId="0" applyFill="1" applyBorder="1" applyAlignment="1">
      <alignment horizontal="center" vertical="top" wrapText="1"/>
    </xf>
    <xf numFmtId="0" fontId="24" fillId="14" borderId="7" xfId="0" applyFont="1" applyFill="1" applyBorder="1" applyAlignment="1">
      <alignment vertical="top" wrapText="1"/>
    </xf>
    <xf numFmtId="0" fontId="24" fillId="14" borderId="8" xfId="0" applyFont="1" applyFill="1" applyBorder="1"/>
    <xf numFmtId="0" fontId="3" fillId="0" borderId="0" xfId="0" applyFont="1" applyAlignment="1">
      <alignment vertical="center" wrapText="1"/>
    </xf>
    <xf numFmtId="0" fontId="24" fillId="14" borderId="11" xfId="0" applyFont="1" applyFill="1" applyBorder="1" applyAlignment="1">
      <alignment vertical="top" wrapText="1"/>
    </xf>
    <xf numFmtId="0" fontId="24" fillId="14" borderId="12" xfId="0" applyFont="1" applyFill="1" applyBorder="1"/>
    <xf numFmtId="0" fontId="9" fillId="11" borderId="0" xfId="0" applyFont="1" applyFill="1" applyAlignment="1">
      <alignment horizontal="center"/>
    </xf>
    <xf numFmtId="0" fontId="27" fillId="11" borderId="0" xfId="0" applyFont="1" applyFill="1"/>
    <xf numFmtId="0" fontId="12" fillId="0" borderId="0" xfId="0" applyFont="1" applyAlignment="1">
      <alignment horizontal="left" vertical="center" wrapText="1"/>
    </xf>
    <xf numFmtId="0" fontId="10" fillId="0" borderId="0" xfId="0" applyFont="1" applyAlignment="1">
      <alignment horizontal="center" vertical="center"/>
    </xf>
    <xf numFmtId="0" fontId="3" fillId="0" borderId="0" xfId="0" applyFont="1" applyAlignment="1">
      <alignment horizontal="center" vertical="center"/>
    </xf>
    <xf numFmtId="0" fontId="14" fillId="0" borderId="14" xfId="0" applyFont="1" applyBorder="1" applyAlignment="1">
      <alignment vertical="center"/>
    </xf>
    <xf numFmtId="0" fontId="14" fillId="0" borderId="16" xfId="0" applyFont="1" applyBorder="1" applyAlignment="1">
      <alignment vertical="center"/>
    </xf>
    <xf numFmtId="0" fontId="15" fillId="0" borderId="15" xfId="0" applyFont="1" applyBorder="1" applyAlignment="1">
      <alignment horizontal="center" vertical="center"/>
    </xf>
    <xf numFmtId="0" fontId="14" fillId="0" borderId="14" xfId="0" applyFont="1" applyBorder="1" applyAlignment="1">
      <alignment horizontal="right" vertical="center" wrapText="1"/>
    </xf>
    <xf numFmtId="0" fontId="14" fillId="0" borderId="16" xfId="0" applyFont="1" applyBorder="1" applyAlignment="1">
      <alignment horizontal="right" vertical="center" wrapText="1"/>
    </xf>
  </cellXfs>
  <cellStyles count="5">
    <cellStyle name="Collegamento ipertestuale" xfId="4" builtinId="8"/>
    <cellStyle name="Input" xfId="3" builtinId="20"/>
    <cellStyle name="Migliaia" xfId="1" builtinId="3"/>
    <cellStyle name="Normale" xfId="0" builtinId="0"/>
    <cellStyle name="Percentuale" xfId="2" builtinId="5"/>
  </cellStyles>
  <dxfs count="41">
    <dxf>
      <font>
        <b val="0"/>
        <i val="0"/>
        <strike val="0"/>
        <condense val="0"/>
        <extend val="0"/>
        <outline val="0"/>
        <shadow val="0"/>
        <u val="none"/>
        <vertAlign val="baseline"/>
        <sz val="11"/>
        <color theme="1"/>
        <name val="Calibri"/>
        <family val="2"/>
        <scheme val="minor"/>
      </font>
      <numFmt numFmtId="164" formatCode="_-* #,##0_-;\-* #,##0_-;_-* &quot;-&quot;??_-;_-@_-"/>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theme="4" tint="0.79998168889431442"/>
        </patternFill>
      </fill>
      <border diagonalUp="0" diagonalDown="0">
        <left/>
        <right style="thin">
          <color indexed="64"/>
        </right>
        <top/>
        <bottom/>
        <vertical/>
        <horizontal/>
      </border>
      <protection locked="1" hidden="0"/>
    </dxf>
    <dxf>
      <fill>
        <patternFill patternType="solid">
          <fgColor indexed="64"/>
          <bgColor theme="4" tint="0.79998168889431442"/>
        </patternFill>
      </fill>
      <border diagonalUp="0" diagonalDown="0">
        <left style="thin">
          <color indexed="64"/>
        </left>
        <right/>
        <top/>
        <bottom/>
        <vertical/>
        <horizontal/>
      </border>
    </dxf>
    <dxf>
      <border outline="0">
        <bottom style="thin">
          <color indexed="64"/>
        </bottom>
      </border>
    </dxf>
    <dxf>
      <font>
        <b/>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theme="4" tint="0.79998168889431442"/>
        </patternFill>
      </fill>
      <border diagonalUp="0" diagonalDown="0">
        <left/>
        <right style="thin">
          <color indexed="64"/>
        </right>
        <top/>
        <bottom/>
        <vertical/>
        <horizontal/>
      </border>
      <protection locked="1" hidden="0"/>
    </dxf>
    <dxf>
      <fill>
        <patternFill patternType="solid">
          <fgColor indexed="64"/>
          <bgColor theme="4" tint="0.79998168889431442"/>
        </patternFill>
      </fill>
      <border diagonalUp="0" diagonalDown="0">
        <left style="thin">
          <color indexed="64"/>
        </left>
        <right/>
        <top/>
        <bottom/>
        <vertical/>
        <horizontal/>
      </border>
    </dxf>
    <dxf>
      <border diagonalUp="0" diagonalDown="0">
        <left style="thin">
          <color indexed="64"/>
        </left>
        <right style="thin">
          <color indexed="64"/>
        </right>
        <top style="thin">
          <color indexed="64"/>
        </top>
        <bottom style="thin">
          <color indexed="64"/>
        </bottom>
      </border>
    </dxf>
    <dxf>
      <fill>
        <patternFill patternType="solid">
          <fgColor indexed="64"/>
          <bgColor theme="4" tint="0.39997558519241921"/>
        </patternFill>
      </fill>
    </dxf>
    <dxf>
      <numFmt numFmtId="168" formatCode="_-* #,##0\ &quot;€&quot;_-;\-* #,##0\ &quot;€&quot;_-;_-* &quot;-&quot;??\ &quot;€&quot;_-;_-@_-"/>
      <protection locked="1" hidden="0"/>
    </dxf>
    <dxf>
      <numFmt numFmtId="168" formatCode="_-* #,##0\ &quot;€&quot;_-;\-* #,##0\ &quot;€&quot;_-;_-* &quot;-&quot;??\ &quot;€&quot;_-;_-@_-"/>
      <protection locked="1" hidden="0"/>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theme="4" tint="0.79998168889431442"/>
        </patternFill>
      </fill>
      <border diagonalUp="0" diagonalDown="0">
        <left style="thin">
          <color theme="0"/>
        </left>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indexed="64"/>
          <bgColor theme="4" tint="0.79998168889431442"/>
        </patternFill>
      </fill>
      <border diagonalUp="0" diagonalDown="0">
        <left/>
        <right style="thin">
          <color theme="0"/>
        </right>
        <top style="thin">
          <color theme="0"/>
        </top>
        <bottom style="thin">
          <color theme="0"/>
        </bottom>
        <vertical/>
        <horizontal/>
      </border>
      <protection locked="1" hidden="0"/>
    </dxf>
    <dxf>
      <border diagonalUp="0" diagonalDown="0">
        <left style="thin">
          <color indexed="64"/>
        </left>
        <right style="thin">
          <color indexed="64"/>
        </right>
        <top style="thin">
          <color indexed="64"/>
        </top>
        <bottom style="thin">
          <color indexed="64"/>
        </bottom>
      </border>
    </dxf>
    <dxf>
      <protection locked="1" hidden="0"/>
    </dxf>
    <dxf>
      <fill>
        <patternFill patternType="solid">
          <fgColor indexed="64"/>
          <bgColor theme="4" tint="-0.499984740745262"/>
        </patternFill>
      </fill>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indexed="64"/>
          <bgColor theme="4" tint="0.79998168889431442"/>
        </patternFill>
      </fill>
      <border diagonalUp="0" diagonalDown="0">
        <left style="thin">
          <color indexed="64"/>
        </left>
        <right/>
        <top/>
        <bottom/>
        <vertical/>
        <horizontal/>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64" formatCode="_-* #,##0_-;\-* #,##0_-;_-* &quot;-&quot;??_-;_-@_-"/>
      <fill>
        <patternFill patternType="solid">
          <fgColor indexed="64"/>
          <bgColor theme="4" tint="0.79998168889431442"/>
        </patternFill>
      </fill>
      <border diagonalUp="0" diagonalDown="0">
        <left/>
        <right style="thin">
          <color indexed="64"/>
        </right>
        <top/>
        <bottom/>
        <vertical/>
        <horizontal/>
      </border>
      <protection locked="1" hidden="0"/>
    </dxf>
    <dxf>
      <fill>
        <patternFill patternType="solid">
          <fgColor indexed="64"/>
          <bgColor theme="4" tint="0.79998168889431442"/>
        </patternFill>
      </fill>
      <alignment horizontal="general" vertical="top" textRotation="0" wrapText="1" indent="0" justifyLastLine="0" shrinkToFit="0" readingOrder="0"/>
      <border diagonalUp="0" diagonalDown="0">
        <left style="thin">
          <color indexed="64"/>
        </left>
        <right/>
        <top/>
        <bottom/>
        <vertical/>
        <horizontal/>
      </border>
    </dxf>
    <dxf>
      <border outline="0">
        <bottom style="thin">
          <color indexed="64"/>
        </bottom>
      </border>
    </dxf>
    <dxf>
      <fill>
        <patternFill patternType="solid">
          <fgColor indexed="64"/>
          <bgColor theme="4" tint="0.79998168889431442"/>
        </patternFill>
      </fill>
      <border diagonalUp="0" diagonalDown="0">
        <left style="thin">
          <color indexed="64"/>
        </left>
        <right/>
        <top/>
        <bottom/>
        <vertical/>
        <horizontal/>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4" tint="0.79998168889431442"/>
        </patternFill>
      </fill>
      <border diagonalUp="0" diagonalDown="0">
        <left/>
        <right style="thin">
          <color indexed="64"/>
        </right>
        <top/>
        <bottom/>
        <vertical/>
        <horizontal/>
      </border>
      <protection locked="1" hidden="0"/>
    </dxf>
    <dxf>
      <fill>
        <patternFill patternType="solid">
          <fgColor indexed="64"/>
          <bgColor theme="4" tint="0.79998168889431442"/>
        </patternFill>
      </fill>
      <border diagonalUp="0" diagonalDown="0">
        <left style="thin">
          <color indexed="64"/>
        </left>
        <right/>
        <top/>
        <bottom/>
        <vertical/>
        <horizontal/>
      </border>
    </dxf>
    <dxf>
      <border outline="0">
        <bottom style="thin">
          <color indexed="64"/>
        </bottom>
      </border>
    </dxf>
    <dxf>
      <font>
        <b val="0"/>
        <i val="0"/>
        <strike val="0"/>
        <condense val="0"/>
        <extend val="0"/>
        <outline val="0"/>
        <shadow val="0"/>
        <u val="none"/>
        <vertAlign val="baseline"/>
        <sz val="11"/>
        <color theme="1"/>
        <name val="Calibri"/>
        <family val="2"/>
        <scheme val="minor"/>
      </font>
      <numFmt numFmtId="13" formatCode="0%"/>
      <fill>
        <patternFill patternType="solid">
          <fgColor indexed="64"/>
          <bgColor theme="4" tint="0.79998168889431442"/>
        </patternFill>
      </fill>
      <border diagonalUp="0" diagonalDown="0">
        <left/>
        <right style="thin">
          <color indexed="64"/>
        </right>
        <top/>
        <bottom/>
        <vertical/>
        <horizontal/>
      </border>
      <protection locked="1" hidden="0"/>
    </dxf>
    <dxf>
      <fill>
        <patternFill patternType="solid">
          <fgColor indexed="64"/>
          <bgColor theme="4" tint="0.79998168889431442"/>
        </patternFill>
      </fill>
      <border diagonalUp="0" diagonalDown="0">
        <left style="thin">
          <color indexed="64"/>
        </left>
        <right/>
        <top/>
        <bottom/>
        <vertical/>
        <horizontal/>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104775</xdr:colOff>
      <xdr:row>17</xdr:row>
      <xdr:rowOff>38100</xdr:rowOff>
    </xdr:from>
    <xdr:to>
      <xdr:col>4</xdr:col>
      <xdr:colOff>457200</xdr:colOff>
      <xdr:row>17</xdr:row>
      <xdr:rowOff>171450</xdr:rowOff>
    </xdr:to>
    <xdr:sp macro="" textlink="">
      <xdr:nvSpPr>
        <xdr:cNvPr id="3" name="Freccia a sinistra 2">
          <a:extLst>
            <a:ext uri="{FF2B5EF4-FFF2-40B4-BE49-F238E27FC236}">
              <a16:creationId xmlns:a16="http://schemas.microsoft.com/office/drawing/2014/main" id="{9E7A14C4-B9C9-CA8C-3F73-98C396E98955}"/>
            </a:ext>
          </a:extLst>
        </xdr:cNvPr>
        <xdr:cNvSpPr/>
      </xdr:nvSpPr>
      <xdr:spPr>
        <a:xfrm>
          <a:off x="11820525" y="6381750"/>
          <a:ext cx="1095375" cy="133350"/>
        </a:xfrm>
        <a:prstGeom prst="lef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3</xdr:col>
      <xdr:colOff>257175</xdr:colOff>
      <xdr:row>15</xdr:row>
      <xdr:rowOff>180975</xdr:rowOff>
    </xdr:from>
    <xdr:to>
      <xdr:col>4</xdr:col>
      <xdr:colOff>371475</xdr:colOff>
      <xdr:row>17</xdr:row>
      <xdr:rowOff>19050</xdr:rowOff>
    </xdr:to>
    <xdr:sp macro="" textlink="">
      <xdr:nvSpPr>
        <xdr:cNvPr id="4" name="CasellaDiTesto 3">
          <a:extLst>
            <a:ext uri="{FF2B5EF4-FFF2-40B4-BE49-F238E27FC236}">
              <a16:creationId xmlns:a16="http://schemas.microsoft.com/office/drawing/2014/main" id="{AA9E92A4-B789-33E5-474F-FB1240A832B1}"/>
            </a:ext>
          </a:extLst>
        </xdr:cNvPr>
        <xdr:cNvSpPr txBox="1"/>
      </xdr:nvSpPr>
      <xdr:spPr>
        <a:xfrm>
          <a:off x="11972925" y="6143625"/>
          <a:ext cx="85725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it-IT" sz="1100" b="1"/>
            <a:t>Selezionare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02FF8A8-FF3C-4505-91B6-9E98F809CA7F}" name="Tabella4" displayName="Tabella4" ref="B10:C30" totalsRowShown="0" tableBorderDxfId="40">
  <tableColumns count="2">
    <tableColumn id="1" xr3:uid="{22F11D96-5933-4ED8-AE62-C36F24607EDF}" name="Descrizione" dataDxfId="39"/>
    <tableColumn id="2" xr3:uid="{17AC2694-5114-4ECA-ABE3-19098C038C2E}" name="Dati" dataDxfId="38" dataCellStyle="Migliaia"/>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E75EED2-D6DC-4E18-9E96-A52795E4C3E7}" name="Tabella43" displayName="Tabella43" ref="B5:C14" totalsRowShown="0" tableBorderDxfId="37">
  <tableColumns count="2">
    <tableColumn id="1" xr3:uid="{13A5F394-88BC-4187-80F2-73C3039E2486}" name="Descrizione" dataDxfId="36"/>
    <tableColumn id="2" xr3:uid="{F859C676-9CE5-4DBC-A779-83775B55B99C}" name="Dati" dataDxfId="35" dataCellStyle="Migliaia"/>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6BEB01-B9B9-491E-896B-18C9F967D58D}" name="Tabella5" displayName="Tabella5" ref="B6:C26" totalsRowShown="0" tableBorderDxfId="34">
  <tableColumns count="2">
    <tableColumn id="1" xr3:uid="{3B679B16-BFAF-437F-9CB6-5080431AE6D5}" name="Descrizione" dataDxfId="33"/>
    <tableColumn id="2" xr3:uid="{6F4B2547-FF3C-4A83-9F9F-4316B4565922}" name="Dati"/>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6086216-67B4-46BA-B641-333E8F60CF60}" name="Tabella6" displayName="Tabella6" ref="B6:C16" totalsRowShown="0" tableBorderDxfId="32">
  <tableColumns count="2">
    <tableColumn id="1" xr3:uid="{B3699120-68F1-4D31-9433-023552D880BA}" name="Descrizione" dataDxfId="31"/>
    <tableColumn id="2" xr3:uid="{E552B95D-E800-4D39-B7C4-FB438CD8C54E}" name="Dati" dataDxfId="30" dataCellStyle="Migliaia"/>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7B3092B-274B-46A7-8688-E085581E2BF9}" name="Tabella7" displayName="Tabella7" ref="B5:C8" totalsRowShown="0" tableBorderDxfId="29">
  <tableColumns count="2">
    <tableColumn id="1" xr3:uid="{0524E757-45AE-4978-8127-41DFDC038E7F}" name="Descrizione" dataDxfId="28"/>
    <tableColumn id="2" xr3:uid="{801E83D1-FAE0-4A0D-8545-F1A6A3A189D0}" name="Dati"/>
  </tableColumns>
  <tableStyleInfo name="TableStyleMedium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4CABAA1-5D5E-4B0E-A3AE-92CEB85BC65C}" name="Tabella3" displayName="Tabella3" ref="B24:E33" totalsRowShown="0" headerRowDxfId="24" dataDxfId="23" tableBorderDxfId="22">
  <tableColumns count="4">
    <tableColumn id="1" xr3:uid="{0D18D747-325B-4EA3-A1E7-6EBEFE2376FD}" name="Controllo di sostenibilità" dataDxfId="21"/>
    <tableColumn id="2" xr3:uid="{1C3D123C-3750-419A-AD8C-2B55EFD1ABF7}" name="Importi" dataDxfId="20" dataCellStyle="Migliaia"/>
    <tableColumn id="3" xr3:uid="{68BEC27D-01C7-4948-9462-E72FF6C6A1F0}" name="Perc. Post" dataDxfId="19">
      <calculatedColumnFormula>C25/(C25+#REF!)</calculatedColumnFormula>
    </tableColumn>
    <tableColumn id="4" xr3:uid="{926FA6A4-817E-4B12-BCFC-DF6E498D84D4}" name="Perc. Ante" dataDxfId="18"/>
  </tableColumns>
  <tableStyleInfo name="TableStyleMedium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98AE0D-DA18-42CB-A46E-422547C261BA}" name="Tabella1" displayName="Tabella1" ref="B4:C8" totalsRowShown="0" headerRowDxfId="17" tableBorderDxfId="16">
  <tableColumns count="2">
    <tableColumn id="1" xr3:uid="{1261E6F0-1B07-4874-9C3E-C2CF429DABE8}" name="Determinazione degli oneri di mantenimento da parte dei genitori" dataDxfId="15"/>
    <tableColumn id="2" xr3:uid="{D2FB84B1-58F9-4BAD-9544-326E2D80BA74}" name="Importi" dataDxfId="14" dataCellStyle="Migliaia"/>
  </tableColumns>
  <tableStyleInfo name="TableStyleMedium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4B2D071-A0F8-40BD-8299-A8EA135D3949}" name="Tabella8" displayName="Tabella8" ref="B5:C19" totalsRowShown="0" headerRowDxfId="7" tableBorderDxfId="6">
  <tableColumns count="2">
    <tableColumn id="1" xr3:uid="{295C05B1-1BB3-4169-AB2C-F1A8593AFE4B}" name="Descrizione" dataDxfId="5"/>
    <tableColumn id="2" xr3:uid="{4F3FCB8E-25D5-4A73-9FDB-6702E02AB877}" name="Importi" dataDxfId="4" dataCellStyle="Migliaia"/>
  </tableColumns>
  <tableStyleInfo name="TableStyleMedium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8CB634D-8A5E-4316-ABE4-28B3A9156F51}" name="Tabella10" displayName="Tabella10" ref="B6:C36" totalsRowShown="0" headerRowDxfId="3" tableBorderDxfId="2">
  <tableColumns count="2">
    <tableColumn id="1" xr3:uid="{7BCC6531-94AF-4363-A260-D82DB32A91DD}" name="Descrizione" dataDxfId="1"/>
    <tableColumn id="2" xr3:uid="{A90954D7-70ED-42AC-81E8-85CD89A6A583}" name="Dati" dataDxfId="0" dataCellStyle="Migliaia"/>
  </tableColumns>
  <tableStyleInfo name="TableStyleMedium13"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ssegnodimantenimento.net/calcolatore-assegno-mantenimento" TargetMode="External"/><Relationship Id="rId2" Type="http://schemas.openxmlformats.org/officeDocument/2006/relationships/hyperlink" Target="mailto:assegnoequo@gmail.com" TargetMode="External"/><Relationship Id="rId1" Type="http://schemas.openxmlformats.org/officeDocument/2006/relationships/hyperlink" Target="http://www.assegnodimantenimento.net/"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table" Target="../tables/table7.xm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18B9D-E5F1-40C3-B8EC-B3AA1667A03D}">
  <sheetPr codeName="Foglio1"/>
  <dimension ref="B3:M19"/>
  <sheetViews>
    <sheetView showGridLines="0" showRowColHeaders="0" workbookViewId="0">
      <selection activeCell="B16" sqref="B16:M16"/>
    </sheetView>
  </sheetViews>
  <sheetFormatPr defaultRowHeight="14.5" x14ac:dyDescent="0.35"/>
  <sheetData>
    <row r="3" spans="2:13" x14ac:dyDescent="0.35">
      <c r="B3" s="164" t="s">
        <v>119</v>
      </c>
      <c r="C3" s="165"/>
      <c r="D3" s="165"/>
      <c r="E3" s="165"/>
      <c r="F3" s="165"/>
      <c r="G3" s="165"/>
      <c r="H3" s="165"/>
      <c r="I3" s="165"/>
      <c r="J3" s="165"/>
      <c r="K3" s="165"/>
      <c r="L3" s="165"/>
      <c r="M3" s="166"/>
    </row>
    <row r="4" spans="2:13" x14ac:dyDescent="0.35">
      <c r="B4" s="167" t="s">
        <v>0</v>
      </c>
      <c r="C4" s="162"/>
      <c r="D4" s="162"/>
      <c r="E4" s="162"/>
      <c r="F4" s="162"/>
      <c r="G4" s="162"/>
      <c r="H4" s="162"/>
      <c r="I4" s="162"/>
      <c r="J4" s="162"/>
      <c r="K4" s="162"/>
      <c r="L4" s="162"/>
      <c r="M4" s="163"/>
    </row>
    <row r="5" spans="2:13" x14ac:dyDescent="0.35">
      <c r="B5" s="167"/>
      <c r="C5" s="162"/>
      <c r="D5" s="162"/>
      <c r="E5" s="162"/>
      <c r="F5" s="162"/>
      <c r="G5" s="162"/>
      <c r="H5" s="162"/>
      <c r="I5" s="162"/>
      <c r="J5" s="162"/>
      <c r="K5" s="162"/>
      <c r="L5" s="162"/>
      <c r="M5" s="163"/>
    </row>
    <row r="6" spans="2:13" ht="33.65" customHeight="1" x14ac:dyDescent="0.35">
      <c r="B6" s="168" t="s">
        <v>115</v>
      </c>
      <c r="C6" s="169"/>
      <c r="D6" s="169"/>
      <c r="E6" s="169"/>
      <c r="F6" s="169"/>
      <c r="G6" s="169"/>
      <c r="H6" s="169"/>
      <c r="I6" s="169"/>
      <c r="J6" s="169"/>
      <c r="K6" s="169"/>
      <c r="L6" s="169"/>
      <c r="M6" s="170"/>
    </row>
    <row r="7" spans="2:13" x14ac:dyDescent="0.35">
      <c r="B7" s="167" t="s">
        <v>1</v>
      </c>
      <c r="C7" s="162"/>
      <c r="D7" s="162"/>
      <c r="E7" s="162"/>
      <c r="F7" s="162"/>
      <c r="G7" s="162"/>
      <c r="H7" s="162"/>
      <c r="I7" s="162"/>
      <c r="J7" s="162"/>
      <c r="K7" s="162"/>
      <c r="L7" s="162"/>
      <c r="M7" s="163"/>
    </row>
    <row r="8" spans="2:13" x14ac:dyDescent="0.35">
      <c r="B8" s="100"/>
      <c r="C8" s="98"/>
      <c r="D8" s="98"/>
      <c r="E8" s="98"/>
      <c r="F8" s="98"/>
      <c r="G8" s="98"/>
      <c r="H8" s="98"/>
      <c r="I8" s="98"/>
      <c r="J8" s="98"/>
      <c r="K8" s="98"/>
      <c r="L8" s="98"/>
      <c r="M8" s="99"/>
    </row>
    <row r="9" spans="2:13" x14ac:dyDescent="0.35">
      <c r="B9" s="161" t="s">
        <v>116</v>
      </c>
      <c r="C9" s="162"/>
      <c r="D9" s="162"/>
      <c r="E9" s="162"/>
      <c r="F9" s="162"/>
      <c r="G9" s="162"/>
      <c r="H9" s="162"/>
      <c r="I9" s="162"/>
      <c r="J9" s="162"/>
      <c r="K9" s="162"/>
      <c r="L9" s="162"/>
      <c r="M9" s="163"/>
    </row>
    <row r="10" spans="2:13" x14ac:dyDescent="0.35">
      <c r="B10" s="161" t="s">
        <v>2</v>
      </c>
      <c r="C10" s="162"/>
      <c r="D10" s="162"/>
      <c r="E10" s="162"/>
      <c r="F10" s="162"/>
      <c r="G10" s="162"/>
      <c r="H10" s="162"/>
      <c r="I10" s="162"/>
      <c r="J10" s="162"/>
      <c r="K10" s="162"/>
      <c r="L10" s="162"/>
      <c r="M10" s="163"/>
    </row>
    <row r="11" spans="2:13" x14ac:dyDescent="0.35">
      <c r="B11" s="167" t="s">
        <v>3</v>
      </c>
      <c r="C11" s="162"/>
      <c r="D11" s="162"/>
      <c r="E11" s="162"/>
      <c r="F11" s="162"/>
      <c r="G11" s="162"/>
      <c r="H11" s="162"/>
      <c r="I11" s="162"/>
      <c r="J11" s="162"/>
      <c r="K11" s="162"/>
      <c r="L11" s="162"/>
      <c r="M11" s="163"/>
    </row>
    <row r="12" spans="2:13" x14ac:dyDescent="0.35">
      <c r="B12" s="3"/>
      <c r="C12" s="101"/>
      <c r="D12" s="101"/>
      <c r="E12" s="101"/>
      <c r="F12" s="101"/>
      <c r="G12" s="101"/>
      <c r="H12" s="101"/>
      <c r="I12" s="101"/>
      <c r="J12" s="101"/>
      <c r="K12" s="101"/>
      <c r="L12" s="101"/>
      <c r="M12" s="102"/>
    </row>
    <row r="13" spans="2:13" ht="32.15" customHeight="1" x14ac:dyDescent="0.35">
      <c r="B13" s="168" t="s">
        <v>114</v>
      </c>
      <c r="C13" s="169"/>
      <c r="D13" s="169"/>
      <c r="E13" s="169"/>
      <c r="F13" s="169"/>
      <c r="G13" s="169"/>
      <c r="H13" s="169"/>
      <c r="I13" s="169"/>
      <c r="J13" s="169"/>
      <c r="K13" s="169"/>
      <c r="L13" s="169"/>
      <c r="M13" s="170"/>
    </row>
    <row r="14" spans="2:13" ht="81" customHeight="1" x14ac:dyDescent="0.35">
      <c r="B14" s="168" t="s">
        <v>117</v>
      </c>
      <c r="C14" s="169"/>
      <c r="D14" s="169"/>
      <c r="E14" s="169"/>
      <c r="F14" s="169"/>
      <c r="G14" s="169"/>
      <c r="H14" s="169"/>
      <c r="I14" s="169"/>
      <c r="J14" s="169"/>
      <c r="K14" s="169"/>
      <c r="L14" s="169"/>
      <c r="M14" s="170"/>
    </row>
    <row r="15" spans="2:13" x14ac:dyDescent="0.35">
      <c r="B15" s="3"/>
      <c r="C15" s="101"/>
      <c r="D15" s="101"/>
      <c r="E15" s="101"/>
      <c r="F15" s="101"/>
      <c r="G15" s="101"/>
      <c r="H15" s="101"/>
      <c r="I15" s="101"/>
      <c r="J15" s="101"/>
      <c r="K15" s="101"/>
      <c r="L15" s="101"/>
      <c r="M15" s="102"/>
    </row>
    <row r="16" spans="2:13" ht="195.75" customHeight="1" x14ac:dyDescent="0.35">
      <c r="B16" s="168" t="s">
        <v>118</v>
      </c>
      <c r="C16" s="169"/>
      <c r="D16" s="169"/>
      <c r="E16" s="169"/>
      <c r="F16" s="169"/>
      <c r="G16" s="169"/>
      <c r="H16" s="169"/>
      <c r="I16" s="169"/>
      <c r="J16" s="169"/>
      <c r="K16" s="169"/>
      <c r="L16" s="169"/>
      <c r="M16" s="170"/>
    </row>
    <row r="17" spans="2:13" ht="33" customHeight="1" x14ac:dyDescent="0.35">
      <c r="B17" s="171" t="s">
        <v>4</v>
      </c>
      <c r="C17" s="172"/>
      <c r="D17" s="172"/>
      <c r="E17" s="172"/>
      <c r="F17" s="172"/>
      <c r="G17" s="172"/>
      <c r="H17" s="172"/>
      <c r="I17" s="172"/>
      <c r="J17" s="172"/>
      <c r="K17" s="172"/>
      <c r="L17" s="172"/>
      <c r="M17" s="173"/>
    </row>
    <row r="19" spans="2:13" x14ac:dyDescent="0.35">
      <c r="L19" s="38" t="s">
        <v>24</v>
      </c>
    </row>
  </sheetData>
  <sheetProtection algorithmName="SHA-512" hashValue="EEvi2mtpje0aGx37re5mTPbdEUhF0KMoYnWZCeB0biIyF1r0b8gre51WesNYfb5YkfB6Hz2ejzWcfuTp3rGPOg==" saltValue="5OgaVieUlkBJhJ2Q186A+g==" spinCount="100000" sheet="1" objects="1" scenarios="1"/>
  <mergeCells count="12">
    <mergeCell ref="B10:M10"/>
    <mergeCell ref="B11:M11"/>
    <mergeCell ref="B13:M13"/>
    <mergeCell ref="B16:M16"/>
    <mergeCell ref="B17:M17"/>
    <mergeCell ref="B14:M14"/>
    <mergeCell ref="B9:M9"/>
    <mergeCell ref="B3:M3"/>
    <mergeCell ref="B4:M4"/>
    <mergeCell ref="B5:M5"/>
    <mergeCell ref="B6:M6"/>
    <mergeCell ref="B7:M7"/>
  </mergeCells>
  <hyperlinks>
    <hyperlink ref="B4" r:id="rId1" xr:uid="{DAC0F041-AC42-4D7F-BE74-40FF83F14C19}"/>
    <hyperlink ref="B11" r:id="rId2" xr:uid="{95E56542-8710-4E75-8805-569BDD53028B}"/>
    <hyperlink ref="B7" r:id="rId3" xr:uid="{299B37A2-CB0C-4A03-9AFC-3E30C4B2FB86}"/>
    <hyperlink ref="L19" location="DatiFamiliari!A1" display="Avanti" xr:uid="{C66F8666-A1A0-4696-9629-0B55542AD0C1}"/>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A91BC-D5E5-41BC-980E-A4B202A0A504}">
  <sheetPr codeName="Foglio12"/>
  <dimension ref="A1:R36"/>
  <sheetViews>
    <sheetView showGridLines="0" workbookViewId="0">
      <selection activeCell="O22" sqref="O22"/>
    </sheetView>
  </sheetViews>
  <sheetFormatPr defaultColWidth="9.1796875" defaultRowHeight="15.5" x14ac:dyDescent="0.35"/>
  <cols>
    <col min="1" max="1" width="38.81640625" style="19" customWidth="1"/>
    <col min="2" max="7" width="11.54296875" style="19" customWidth="1"/>
    <col min="8" max="16384" width="9.1796875" style="19"/>
  </cols>
  <sheetData>
    <row r="1" spans="1:11" x14ac:dyDescent="0.35">
      <c r="A1" s="181" t="s">
        <v>76</v>
      </c>
      <c r="B1" s="181"/>
      <c r="C1" s="181"/>
      <c r="D1" s="181"/>
      <c r="E1" s="181"/>
      <c r="F1" s="181"/>
      <c r="G1" s="181"/>
    </row>
    <row r="2" spans="1:11" ht="16" thickBot="1" x14ac:dyDescent="0.4">
      <c r="I2" s="182" t="s">
        <v>27</v>
      </c>
      <c r="J2" s="183"/>
      <c r="K2" s="183"/>
    </row>
    <row r="3" spans="1:11" ht="16" thickBot="1" x14ac:dyDescent="0.4">
      <c r="A3" s="184" t="s">
        <v>28</v>
      </c>
      <c r="B3" s="186" t="s">
        <v>29</v>
      </c>
      <c r="C3" s="186"/>
      <c r="D3" s="186"/>
      <c r="E3" s="186"/>
      <c r="F3" s="186"/>
      <c r="G3" s="187" t="s">
        <v>30</v>
      </c>
    </row>
    <row r="4" spans="1:11" ht="16" thickBot="1" x14ac:dyDescent="0.4">
      <c r="A4" s="185"/>
      <c r="B4" s="20">
        <v>1</v>
      </c>
      <c r="C4" s="21">
        <v>2</v>
      </c>
      <c r="D4" s="20">
        <v>3</v>
      </c>
      <c r="E4" s="21">
        <v>4</v>
      </c>
      <c r="F4" s="20" t="s">
        <v>31</v>
      </c>
      <c r="G4" s="188"/>
      <c r="I4" s="20">
        <v>3</v>
      </c>
      <c r="J4" s="21">
        <v>4</v>
      </c>
      <c r="K4" s="20" t="s">
        <v>31</v>
      </c>
    </row>
    <row r="5" spans="1:11" ht="16" thickBot="1" x14ac:dyDescent="0.4">
      <c r="A5" s="22" t="s">
        <v>32</v>
      </c>
      <c r="B5" s="23">
        <v>1520.5</v>
      </c>
      <c r="C5" s="23">
        <v>2277.2600000000002</v>
      </c>
      <c r="D5" s="23">
        <v>2671.79</v>
      </c>
      <c r="E5" s="23">
        <v>2876.34</v>
      </c>
      <c r="F5" s="23">
        <v>2992.28</v>
      </c>
      <c r="G5" s="23">
        <v>2158.8200000000002</v>
      </c>
    </row>
    <row r="6" spans="1:11" ht="16" thickBot="1" x14ac:dyDescent="0.4">
      <c r="A6" s="22" t="s">
        <v>33</v>
      </c>
      <c r="B6" s="23">
        <v>1815.45</v>
      </c>
      <c r="C6" s="23">
        <v>2648.47</v>
      </c>
      <c r="D6" s="23">
        <v>2961.8</v>
      </c>
      <c r="E6" s="23">
        <v>3289.06</v>
      </c>
      <c r="F6" s="23">
        <v>3393.86</v>
      </c>
      <c r="G6" s="23">
        <v>2559.85</v>
      </c>
    </row>
    <row r="7" spans="1:11" ht="16" thickBot="1" x14ac:dyDescent="0.4">
      <c r="A7" s="24" t="s">
        <v>34</v>
      </c>
      <c r="B7" s="45">
        <f>SUM(B8:B18)</f>
        <v>0.16905579709741528</v>
      </c>
      <c r="C7" s="46">
        <f t="shared" ref="C7:G7" si="0">SUM(C8:C18)</f>
        <v>0.19223753422756895</v>
      </c>
      <c r="D7" s="45">
        <f t="shared" si="0"/>
        <v>0.19897959183673472</v>
      </c>
      <c r="E7" s="46">
        <f t="shared" si="0"/>
        <v>0.20574199656098457</v>
      </c>
      <c r="F7" s="45">
        <f t="shared" si="0"/>
        <v>0.23014984631939595</v>
      </c>
      <c r="G7" s="46">
        <f t="shared" si="0"/>
        <v>0.19279466307808449</v>
      </c>
      <c r="I7" s="64">
        <f>D7</f>
        <v>0.19897959183673472</v>
      </c>
      <c r="J7" s="65">
        <f>E7</f>
        <v>0.20574199656098457</v>
      </c>
      <c r="K7" s="66">
        <f>F7</f>
        <v>0.23014984631939595</v>
      </c>
    </row>
    <row r="8" spans="1:11" ht="16" thickBot="1" x14ac:dyDescent="0.4">
      <c r="A8" s="26" t="s">
        <v>35</v>
      </c>
      <c r="B8" s="42">
        <v>2.6877021482689709E-2</v>
      </c>
      <c r="C8" s="43">
        <v>3.0385511587383847E-2</v>
      </c>
      <c r="D8" s="42">
        <v>3.2729418297931419E-2</v>
      </c>
      <c r="E8" s="43">
        <v>3.5433451187233143E-2</v>
      </c>
      <c r="F8" s="42">
        <v>3.9038584035770166E-2</v>
      </c>
      <c r="G8" s="43">
        <v>3.1476679686217875E-2</v>
      </c>
    </row>
    <row r="9" spans="1:11" ht="16" thickBot="1" x14ac:dyDescent="0.4">
      <c r="A9" s="26" t="s">
        <v>36</v>
      </c>
      <c r="B9" s="42">
        <v>3.3351332995607712E-2</v>
      </c>
      <c r="C9" s="43">
        <v>4.084455888774173E-2</v>
      </c>
      <c r="D9" s="42">
        <v>4.3422879355823965E-2</v>
      </c>
      <c r="E9" s="43">
        <v>4.5747277446112428E-2</v>
      </c>
      <c r="F9" s="42">
        <v>5.1252636070724E-2</v>
      </c>
      <c r="G9" s="43">
        <v>4.108543670200545E-2</v>
      </c>
    </row>
    <row r="10" spans="1:11" ht="16" thickBot="1" x14ac:dyDescent="0.4">
      <c r="A10" s="26" t="s">
        <v>37</v>
      </c>
      <c r="B10" s="42">
        <v>1.4384884737214209E-2</v>
      </c>
      <c r="C10" s="43">
        <v>1.7984011491485444E-2</v>
      </c>
      <c r="D10" s="42">
        <v>1.8839372483687354E-2</v>
      </c>
      <c r="E10" s="43">
        <v>1.9078807550377712E-2</v>
      </c>
      <c r="F10" s="42">
        <v>2.0967971354182772E-2</v>
      </c>
      <c r="G10" s="43">
        <v>1.7662552926116779E-2</v>
      </c>
    </row>
    <row r="11" spans="1:11" ht="16" thickBot="1" x14ac:dyDescent="0.4">
      <c r="A11" s="26" t="s">
        <v>38</v>
      </c>
      <c r="B11" s="42">
        <v>2.1900207645588508E-2</v>
      </c>
      <c r="C11" s="43">
        <v>2.4378598740670308E-2</v>
      </c>
      <c r="D11" s="42">
        <v>2.5687213660974598E-2</v>
      </c>
      <c r="E11" s="43">
        <v>2.6591188649961038E-2</v>
      </c>
      <c r="F11" s="42">
        <v>2.9527084273866876E-2</v>
      </c>
      <c r="G11" s="43">
        <v>2.4772704893819542E-2</v>
      </c>
    </row>
    <row r="12" spans="1:11" ht="16" thickBot="1" x14ac:dyDescent="0.4">
      <c r="A12" s="26" t="s">
        <v>39</v>
      </c>
      <c r="B12" s="42">
        <v>5.4778353643261538E-3</v>
      </c>
      <c r="C12" s="43">
        <v>6.317052368690599E-3</v>
      </c>
      <c r="D12" s="42">
        <v>5.7371928363182017E-3</v>
      </c>
      <c r="E12" s="43">
        <v>5.8830348345215323E-3</v>
      </c>
      <c r="F12" s="42">
        <v>6.5770351084422293E-3</v>
      </c>
      <c r="G12" s="43">
        <v>5.9244428397938744E-3</v>
      </c>
    </row>
    <row r="13" spans="1:11" ht="16" thickBot="1" x14ac:dyDescent="0.4">
      <c r="A13" s="26" t="s">
        <v>40</v>
      </c>
      <c r="B13" s="42">
        <v>1.7001330490500077E-2</v>
      </c>
      <c r="C13" s="43">
        <v>1.8869541442393622E-2</v>
      </c>
      <c r="D13" s="42">
        <v>1.6989448840760795E-2</v>
      </c>
      <c r="E13" s="43">
        <v>1.6493105868866605E-2</v>
      </c>
      <c r="F13" s="42">
        <v>1.7835608136104738E-2</v>
      </c>
      <c r="G13" s="43">
        <v>1.751485213509699E-2</v>
      </c>
    </row>
    <row r="14" spans="1:11" ht="16" thickBot="1" x14ac:dyDescent="0.4">
      <c r="A14" s="26" t="s">
        <v>41</v>
      </c>
      <c r="B14" s="42">
        <v>2.4967572773376832E-2</v>
      </c>
      <c r="C14" s="43">
        <v>2.6843391783751135E-2</v>
      </c>
      <c r="D14" s="42">
        <v>2.6631264750798283E-2</v>
      </c>
      <c r="E14" s="43">
        <v>2.6681350103363668E-2</v>
      </c>
      <c r="F14" s="42">
        <v>3.1237051558760411E-2</v>
      </c>
      <c r="G14" s="43">
        <v>2.6590245183313092E-2</v>
      </c>
    </row>
    <row r="15" spans="1:11" ht="31.5" thickBot="1" x14ac:dyDescent="0.4">
      <c r="A15" s="26" t="s">
        <v>42</v>
      </c>
      <c r="B15" s="42">
        <v>6.5411143832146655E-3</v>
      </c>
      <c r="C15" s="43">
        <v>7.3168442487482194E-3</v>
      </c>
      <c r="D15" s="42">
        <v>7.9272525336665286E-3</v>
      </c>
      <c r="E15" s="43">
        <v>8.4011154259806663E-3</v>
      </c>
      <c r="F15" s="42">
        <v>9.4187348097390829E-3</v>
      </c>
      <c r="G15" s="43">
        <v>7.5860767387665329E-3</v>
      </c>
    </row>
    <row r="16" spans="1:11" ht="31.5" thickBot="1" x14ac:dyDescent="0.4">
      <c r="A16" s="26" t="s">
        <v>43</v>
      </c>
      <c r="B16" s="42">
        <v>4.7207361676306694E-3</v>
      </c>
      <c r="C16" s="43">
        <v>4.5541540332420596E-3</v>
      </c>
      <c r="D16" s="42">
        <v>5.1714563376370959E-3</v>
      </c>
      <c r="E16" s="43">
        <v>4.8719385356491953E-3</v>
      </c>
      <c r="F16" s="42">
        <v>5.7978095102628954E-3</v>
      </c>
      <c r="G16" s="43">
        <v>4.8618177044014834E-3</v>
      </c>
    </row>
    <row r="17" spans="1:11" ht="16" thickBot="1" x14ac:dyDescent="0.4">
      <c r="A17" s="26" t="s">
        <v>44</v>
      </c>
      <c r="B17" s="42">
        <v>5.7283461279386298E-3</v>
      </c>
      <c r="C17" s="43">
        <v>6.3088908023227813E-3</v>
      </c>
      <c r="D17" s="42">
        <v>6.205747605164515E-3</v>
      </c>
      <c r="E17" s="43">
        <v>6.2340204924103372E-3</v>
      </c>
      <c r="F17" s="42">
        <v>6.4657171658451815E-3</v>
      </c>
      <c r="G17" s="43">
        <v>6.1377884268224636E-3</v>
      </c>
    </row>
    <row r="18" spans="1:11" ht="31.5" thickBot="1" x14ac:dyDescent="0.4">
      <c r="A18" s="26" t="s">
        <v>45</v>
      </c>
      <c r="B18" s="42">
        <v>8.1054149293281301E-3</v>
      </c>
      <c r="C18" s="43">
        <v>8.4349788411391905E-3</v>
      </c>
      <c r="D18" s="42">
        <v>9.6383451339719563E-3</v>
      </c>
      <c r="E18" s="43">
        <v>1.032670646650824E-2</v>
      </c>
      <c r="F18" s="42">
        <v>1.203161429569756E-2</v>
      </c>
      <c r="G18" s="43">
        <v>9.1820658417303951E-3</v>
      </c>
    </row>
    <row r="19" spans="1:11" ht="16" thickBot="1" x14ac:dyDescent="0.4">
      <c r="A19" s="27" t="s">
        <v>46</v>
      </c>
      <c r="B19" s="45">
        <f>SUM(B20:B32)-B23-B24</f>
        <v>0.83094420290258464</v>
      </c>
      <c r="C19" s="46">
        <f t="shared" ref="C19:G19" si="1">SUM(C20:C32)-C23-C24</f>
        <v>0.80777470812198282</v>
      </c>
      <c r="D19" s="45">
        <f t="shared" si="1"/>
        <v>0.8010238789393308</v>
      </c>
      <c r="E19" s="46">
        <f t="shared" si="1"/>
        <v>0.79425800343901565</v>
      </c>
      <c r="F19" s="45">
        <f t="shared" si="1"/>
        <v>0.76985015368060417</v>
      </c>
      <c r="G19" s="46">
        <f t="shared" si="1"/>
        <v>0.80720123412216493</v>
      </c>
    </row>
    <row r="20" spans="1:11" ht="16" thickBot="1" x14ac:dyDescent="0.4">
      <c r="A20" s="26" t="s">
        <v>47</v>
      </c>
      <c r="B20" s="42">
        <v>1.7262975065828662E-2</v>
      </c>
      <c r="C20" s="43">
        <v>1.9024611203382152E-2</v>
      </c>
      <c r="D20" s="42">
        <v>1.8166041926974873E-2</v>
      </c>
      <c r="E20" s="43">
        <v>1.6985773810673829E-2</v>
      </c>
      <c r="F20" s="42">
        <v>1.7906727932763961E-2</v>
      </c>
      <c r="G20" s="43">
        <v>1.7966160107657465E-2</v>
      </c>
      <c r="I20" s="63">
        <f>D20</f>
        <v>1.8166041926974873E-2</v>
      </c>
      <c r="J20" s="63">
        <f>E20</f>
        <v>1.6985773810673829E-2</v>
      </c>
      <c r="K20" s="63">
        <f>F20</f>
        <v>1.7906727932763961E-2</v>
      </c>
    </row>
    <row r="21" spans="1:11" ht="16" thickBot="1" x14ac:dyDescent="0.4">
      <c r="A21" s="28" t="s">
        <v>48</v>
      </c>
      <c r="B21" s="47">
        <v>3.1614458367894539E-2</v>
      </c>
      <c r="C21" s="47">
        <v>3.312371710378656E-2</v>
      </c>
      <c r="D21" s="47">
        <v>4.5484520338747753E-2</v>
      </c>
      <c r="E21" s="47">
        <v>5.5555555555555559E-2</v>
      </c>
      <c r="F21" s="47">
        <v>5.933246340422637E-2</v>
      </c>
      <c r="G21" s="48">
        <v>4.108543670200545E-2</v>
      </c>
      <c r="I21" s="63">
        <f t="shared" ref="I21:K22" si="2">D21</f>
        <v>4.5484520338747753E-2</v>
      </c>
      <c r="J21" s="63">
        <f t="shared" si="2"/>
        <v>5.5555555555555559E-2</v>
      </c>
      <c r="K21" s="63">
        <f t="shared" si="2"/>
        <v>5.933246340422637E-2</v>
      </c>
    </row>
    <row r="22" spans="1:11" ht="31.5" thickBot="1" x14ac:dyDescent="0.4">
      <c r="A22" s="29" t="s">
        <v>49</v>
      </c>
      <c r="B22" s="42">
        <v>0.45295686204650593</v>
      </c>
      <c r="C22" s="43">
        <v>0.38831100464801199</v>
      </c>
      <c r="D22" s="42">
        <v>0.33663751214771626</v>
      </c>
      <c r="E22" s="43">
        <v>0.31253823811639847</v>
      </c>
      <c r="F22" s="42">
        <v>0.29745391127959975</v>
      </c>
      <c r="G22" s="43">
        <v>0.37397840286211309</v>
      </c>
      <c r="I22" s="63">
        <f t="shared" si="2"/>
        <v>0.33663751214771626</v>
      </c>
      <c r="J22" s="63">
        <f t="shared" si="2"/>
        <v>0.31253823811639847</v>
      </c>
      <c r="K22" s="63">
        <f t="shared" si="2"/>
        <v>0.29745391127959975</v>
      </c>
    </row>
    <row r="23" spans="1:11" ht="16" thickBot="1" x14ac:dyDescent="0.4">
      <c r="A23" s="53" t="s">
        <v>50</v>
      </c>
      <c r="B23" s="49">
        <v>9.9424938624862909E-3</v>
      </c>
      <c r="C23" s="50">
        <v>1.4576557532921716E-2</v>
      </c>
      <c r="D23" s="49">
        <v>2.0609468277106763E-2</v>
      </c>
      <c r="E23" s="50">
        <v>1.0796834044964806E-2</v>
      </c>
      <c r="F23" s="49">
        <v>1.2495439056518592E-2</v>
      </c>
      <c r="G23" s="50">
        <v>1.3871565956608789E-2</v>
      </c>
    </row>
    <row r="24" spans="1:11" ht="16" thickBot="1" x14ac:dyDescent="0.4">
      <c r="A24" s="54" t="s">
        <v>51</v>
      </c>
      <c r="B24" s="51">
        <v>0.301637227012854</v>
      </c>
      <c r="C24" s="51">
        <v>0.25710974450216484</v>
      </c>
      <c r="D24" s="51">
        <v>0.21228654727197002</v>
      </c>
      <c r="E24" s="51">
        <v>0.19966575861202884</v>
      </c>
      <c r="F24" s="51">
        <v>0.17223359451820977</v>
      </c>
      <c r="G24" s="52">
        <v>0.24290215643154886</v>
      </c>
      <c r="I24" s="25">
        <f>100-G24</f>
        <v>99.757097843568445</v>
      </c>
    </row>
    <row r="25" spans="1:11" ht="16" thickBot="1" x14ac:dyDescent="0.4">
      <c r="A25" s="26" t="s">
        <v>52</v>
      </c>
      <c r="B25" s="42">
        <v>5.0046483663914766E-2</v>
      </c>
      <c r="C25" s="43">
        <v>4.4215285797650279E-2</v>
      </c>
      <c r="D25" s="42">
        <v>4.7625989171178676E-2</v>
      </c>
      <c r="E25" s="43">
        <v>4.2910411715836858E-2</v>
      </c>
      <c r="F25" s="42">
        <v>4.3305771835323657E-2</v>
      </c>
      <c r="G25" s="43">
        <v>4.6082646798175073E-2</v>
      </c>
    </row>
    <row r="26" spans="1:11" ht="16" thickBot="1" x14ac:dyDescent="0.4">
      <c r="A26" s="26" t="s">
        <v>53</v>
      </c>
      <c r="B26" s="42">
        <v>4.6622836561210912E-2</v>
      </c>
      <c r="C26" s="43">
        <v>5.5927133535468125E-2</v>
      </c>
      <c r="D26" s="42">
        <v>4.5765653200055538E-2</v>
      </c>
      <c r="E26" s="43">
        <v>4.3760505419347361E-2</v>
      </c>
      <c r="F26" s="42">
        <v>4.1234021236989715E-2</v>
      </c>
      <c r="G26" s="43">
        <v>4.8339186660977446E-2</v>
      </c>
    </row>
    <row r="27" spans="1:11" ht="16" thickBot="1" x14ac:dyDescent="0.4">
      <c r="A27" s="26" t="s">
        <v>54</v>
      </c>
      <c r="B27" s="42">
        <v>7.6300011690502309E-2</v>
      </c>
      <c r="C27" s="43">
        <v>9.586575855638213E-2</v>
      </c>
      <c r="D27" s="42">
        <v>0.11307094266277939</v>
      </c>
      <c r="E27" s="43">
        <v>0.11319126464318605</v>
      </c>
      <c r="F27" s="42">
        <v>0.11368035671216271</v>
      </c>
      <c r="G27" s="43">
        <v>9.8889782387501221E-2</v>
      </c>
    </row>
    <row r="28" spans="1:11" ht="16" thickBot="1" x14ac:dyDescent="0.4">
      <c r="A28" s="26" t="s">
        <v>55</v>
      </c>
      <c r="B28" s="42">
        <v>1.9935089877695079E-2</v>
      </c>
      <c r="C28" s="43">
        <v>2.1624070091531965E-2</v>
      </c>
      <c r="D28" s="42">
        <v>2.2535748993474946E-2</v>
      </c>
      <c r="E28" s="43">
        <v>2.390566535932559E-2</v>
      </c>
      <c r="F28" s="42">
        <v>2.5099103890562094E-2</v>
      </c>
      <c r="G28" s="43">
        <v>2.2032034660452293E-2</v>
      </c>
    </row>
    <row r="29" spans="1:11" ht="16" thickBot="1" x14ac:dyDescent="0.4">
      <c r="A29" s="26" t="s">
        <v>56</v>
      </c>
      <c r="B29" s="42">
        <v>3.301731864412441E-2</v>
      </c>
      <c r="C29" s="43">
        <v>3.9187760915074817E-2</v>
      </c>
      <c r="D29" s="42">
        <v>4.1975565736498681E-2</v>
      </c>
      <c r="E29" s="43">
        <v>4.878378639463668E-2</v>
      </c>
      <c r="F29" s="42">
        <v>4.9514839300181197E-2</v>
      </c>
      <c r="G29" s="43">
        <v>4.0638231529195518E-2</v>
      </c>
    </row>
    <row r="30" spans="1:11" ht="16" thickBot="1" x14ac:dyDescent="0.4">
      <c r="A30" s="26" t="s">
        <v>57</v>
      </c>
      <c r="B30" s="42">
        <v>1.5587336402554095E-3</v>
      </c>
      <c r="C30" s="43">
        <v>2.0077453264830585E-3</v>
      </c>
      <c r="D30" s="42">
        <v>8.5519922254616142E-3</v>
      </c>
      <c r="E30" s="43">
        <v>1.2651583943533169E-2</v>
      </c>
      <c r="F30" s="42">
        <v>1.1403904786053099E-2</v>
      </c>
      <c r="G30" s="43">
        <v>5.7972560475268321E-3</v>
      </c>
    </row>
    <row r="31" spans="1:11" ht="16" thickBot="1" x14ac:dyDescent="0.4">
      <c r="A31" s="26" t="s">
        <v>58</v>
      </c>
      <c r="B31" s="42">
        <v>3.7793723870335631E-2</v>
      </c>
      <c r="C31" s="43">
        <v>3.6576059677373277E-2</v>
      </c>
      <c r="D31" s="42">
        <v>4.4950020824656392E-2</v>
      </c>
      <c r="E31" s="43">
        <v>4.8651764266439974E-2</v>
      </c>
      <c r="F31" s="42">
        <v>4.2554375722793587E-2</v>
      </c>
      <c r="G31" s="43">
        <v>4.119621229527029E-2</v>
      </c>
    </row>
    <row r="32" spans="1:11" ht="16" thickBot="1" x14ac:dyDescent="0.4">
      <c r="A32" s="26" t="s">
        <v>59</v>
      </c>
      <c r="B32" s="42">
        <v>6.383570947431709E-2</v>
      </c>
      <c r="C32" s="43">
        <v>7.1911561266838328E-2</v>
      </c>
      <c r="D32" s="42">
        <v>7.6259891711786765E-2</v>
      </c>
      <c r="E32" s="43">
        <v>7.5323454214081931E-2</v>
      </c>
      <c r="F32" s="42">
        <v>6.8364677579947922E-2</v>
      </c>
      <c r="G32" s="43">
        <v>7.1195884071290239E-2</v>
      </c>
    </row>
    <row r="33" spans="1:18" ht="16" thickBot="1" x14ac:dyDescent="0.4">
      <c r="A33" s="30" t="s">
        <v>30</v>
      </c>
      <c r="B33" s="44">
        <f>B19+B7</f>
        <v>0.99999999999999989</v>
      </c>
      <c r="C33" s="55">
        <v>0.99999999999999989</v>
      </c>
      <c r="D33" s="44">
        <v>0.99999999999999989</v>
      </c>
      <c r="E33" s="55">
        <v>0.99999999999999989</v>
      </c>
      <c r="F33" s="44">
        <v>0.99999999999999989</v>
      </c>
      <c r="G33" s="55">
        <v>0.99999999999999989</v>
      </c>
      <c r="I33" s="33">
        <f>(I7+I20+I21+I22)</f>
        <v>0.59926766625017369</v>
      </c>
      <c r="J33" s="34">
        <f>(J7+J20+J21+J22)</f>
        <v>0.59082156404361252</v>
      </c>
      <c r="K33" s="35">
        <f>(K7+K20+K21+K22)</f>
        <v>0.604842948935986</v>
      </c>
      <c r="M33" s="36" t="s">
        <v>63</v>
      </c>
      <c r="N33" s="36"/>
      <c r="O33" s="36"/>
      <c r="P33" s="36"/>
      <c r="Q33" s="36"/>
      <c r="R33" s="36"/>
    </row>
    <row r="34" spans="1:18" ht="18" x14ac:dyDescent="0.35">
      <c r="A34" s="31" t="s">
        <v>60</v>
      </c>
    </row>
    <row r="35" spans="1:18" x14ac:dyDescent="0.35">
      <c r="A35" s="32" t="s">
        <v>61</v>
      </c>
    </row>
    <row r="36" spans="1:18" x14ac:dyDescent="0.35">
      <c r="A36" s="32" t="s">
        <v>62</v>
      </c>
    </row>
  </sheetData>
  <sheetProtection algorithmName="SHA-512" hashValue="VCqa7wwE6IyO6M3QEOdkQDKgk2FVJsHHJxNhOy4+60IwpXdQlOfqysqyJv8qaqsxUbNcqJgBsWhGPjDIoEh3Mg==" saltValue="fkRcc5SsT5bwtGpqV0iqMw==" spinCount="100000" sheet="1" objects="1" scenarios="1"/>
  <mergeCells count="5">
    <mergeCell ref="A1:G1"/>
    <mergeCell ref="I2:K2"/>
    <mergeCell ref="A3:A4"/>
    <mergeCell ref="B3:F3"/>
    <mergeCell ref="G3:G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D4E87-CF1C-4168-911B-3C286DF3479F}">
  <dimension ref="A1:E16"/>
  <sheetViews>
    <sheetView workbookViewId="0">
      <selection activeCell="E20" sqref="E20"/>
    </sheetView>
  </sheetViews>
  <sheetFormatPr defaultRowHeight="14.5" x14ac:dyDescent="0.35"/>
  <cols>
    <col min="1" max="1" width="53.81640625" bestFit="1" customWidth="1"/>
    <col min="2" max="2" width="36.26953125" bestFit="1" customWidth="1"/>
    <col min="3" max="3" width="11.26953125" bestFit="1" customWidth="1"/>
    <col min="4" max="4" width="18.7265625" bestFit="1" customWidth="1"/>
    <col min="5" max="5" width="9.1796875" bestFit="1" customWidth="1"/>
  </cols>
  <sheetData>
    <row r="1" spans="1:5" x14ac:dyDescent="0.35">
      <c r="A1" s="59" t="s">
        <v>79</v>
      </c>
    </row>
    <row r="2" spans="1:5" x14ac:dyDescent="0.35">
      <c r="A2" s="58" t="s">
        <v>10</v>
      </c>
      <c r="B2" s="58" t="s">
        <v>80</v>
      </c>
    </row>
    <row r="3" spans="1:5" x14ac:dyDescent="0.35">
      <c r="A3" s="56">
        <v>1</v>
      </c>
      <c r="B3" s="57">
        <v>0.25</v>
      </c>
    </row>
    <row r="4" spans="1:5" x14ac:dyDescent="0.35">
      <c r="A4" s="56">
        <v>2</v>
      </c>
      <c r="B4" s="57">
        <v>0.4</v>
      </c>
    </row>
    <row r="5" spans="1:5" x14ac:dyDescent="0.35">
      <c r="A5" s="56">
        <v>3</v>
      </c>
      <c r="B5" s="57">
        <v>0.5</v>
      </c>
    </row>
    <row r="6" spans="1:5" x14ac:dyDescent="0.35">
      <c r="A6" s="56">
        <v>4</v>
      </c>
      <c r="B6" s="57">
        <v>0.5</v>
      </c>
    </row>
    <row r="7" spans="1:5" x14ac:dyDescent="0.35">
      <c r="A7" s="56">
        <v>5</v>
      </c>
      <c r="B7" s="57">
        <v>0.5</v>
      </c>
    </row>
    <row r="8" spans="1:5" x14ac:dyDescent="0.35">
      <c r="A8" s="56">
        <v>6</v>
      </c>
      <c r="B8" s="57">
        <v>0.5</v>
      </c>
    </row>
    <row r="10" spans="1:5" x14ac:dyDescent="0.35">
      <c r="A10" s="60" t="s">
        <v>81</v>
      </c>
      <c r="B10" s="56"/>
      <c r="C10" s="56"/>
      <c r="D10" s="56"/>
      <c r="E10" s="56"/>
    </row>
    <row r="11" spans="1:5" x14ac:dyDescent="0.35">
      <c r="A11" s="60" t="s">
        <v>88</v>
      </c>
      <c r="B11" s="60" t="s">
        <v>87</v>
      </c>
      <c r="C11" s="60" t="s">
        <v>89</v>
      </c>
      <c r="D11" s="60" t="s">
        <v>90</v>
      </c>
      <c r="E11" s="60" t="s">
        <v>92</v>
      </c>
    </row>
    <row r="12" spans="1:5" x14ac:dyDescent="0.35">
      <c r="A12" s="56" t="s">
        <v>82</v>
      </c>
      <c r="B12" s="62">
        <v>10780</v>
      </c>
      <c r="C12" s="62">
        <v>11988</v>
      </c>
      <c r="D12" s="67">
        <f>C12/B12</f>
        <v>1.1120593692022263</v>
      </c>
      <c r="E12" s="57">
        <f>1-D12</f>
        <v>-0.11205936920222626</v>
      </c>
    </row>
    <row r="13" spans="1:5" x14ac:dyDescent="0.35">
      <c r="A13" s="56" t="s">
        <v>83</v>
      </c>
      <c r="B13" s="62">
        <v>19993</v>
      </c>
      <c r="C13" s="62">
        <v>17060</v>
      </c>
      <c r="D13" s="67">
        <f t="shared" ref="D13:D16" si="0">C13/B13</f>
        <v>0.85329865452908515</v>
      </c>
      <c r="E13" s="57">
        <f>1-D13</f>
        <v>0.14670134547091485</v>
      </c>
    </row>
    <row r="14" spans="1:5" x14ac:dyDescent="0.35">
      <c r="A14" s="56" t="s">
        <v>84</v>
      </c>
      <c r="B14" s="62">
        <v>28204</v>
      </c>
      <c r="C14" s="62">
        <v>20763</v>
      </c>
      <c r="D14" s="67">
        <f t="shared" si="0"/>
        <v>0.73617217415969372</v>
      </c>
      <c r="E14" s="57">
        <f>1-D14</f>
        <v>0.26382782584030628</v>
      </c>
    </row>
    <row r="15" spans="1:5" x14ac:dyDescent="0.35">
      <c r="A15" s="56" t="s">
        <v>85</v>
      </c>
      <c r="B15" s="62">
        <v>41753</v>
      </c>
      <c r="C15" s="62">
        <v>26630</v>
      </c>
      <c r="D15" s="67">
        <f t="shared" si="0"/>
        <v>0.6377984815462362</v>
      </c>
      <c r="E15" s="57">
        <f>1-D15</f>
        <v>0.3622015184537638</v>
      </c>
    </row>
    <row r="16" spans="1:5" x14ac:dyDescent="0.35">
      <c r="A16" s="56" t="s">
        <v>86</v>
      </c>
      <c r="B16" s="62">
        <v>95995</v>
      </c>
      <c r="C16" s="62">
        <v>46947</v>
      </c>
      <c r="D16" s="67">
        <f t="shared" si="0"/>
        <v>0.4890567217042554</v>
      </c>
      <c r="E16" s="57">
        <f>1-D16</f>
        <v>0.5109432782957446</v>
      </c>
    </row>
  </sheetData>
  <sheetProtection algorithmName="SHA-512" hashValue="fGTYxUSUfuN1cXfI+3R2KsJNkwRxat0yI6urFguwp53w+gatIXYV0cbtklyy3mKaiv9xOCsxTqjcpAy4pyeNxA==" saltValue="8eirCac1y/KSLzA3fwaNa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1A32B-D1FD-4F66-B7C7-7F39FD083477}">
  <sheetPr codeName="Foglio2"/>
  <dimension ref="B3:E32"/>
  <sheetViews>
    <sheetView showGridLines="0" showRowColHeaders="0" workbookViewId="0">
      <selection activeCell="C15" sqref="C15:C16"/>
    </sheetView>
  </sheetViews>
  <sheetFormatPr defaultColWidth="8.81640625" defaultRowHeight="14.5" x14ac:dyDescent="0.35"/>
  <cols>
    <col min="2" max="2" width="111.453125" customWidth="1"/>
    <col min="3" max="3" width="17" style="1" bestFit="1" customWidth="1"/>
    <col min="5" max="5" width="9.453125" bestFit="1" customWidth="1"/>
  </cols>
  <sheetData>
    <row r="3" spans="2:5" x14ac:dyDescent="0.35">
      <c r="B3" s="77" t="s">
        <v>5</v>
      </c>
    </row>
    <row r="4" spans="2:5" x14ac:dyDescent="0.35">
      <c r="B4" s="59" t="s">
        <v>6</v>
      </c>
      <c r="C4" s="2" t="s">
        <v>7</v>
      </c>
    </row>
    <row r="5" spans="2:5" x14ac:dyDescent="0.35">
      <c r="B5" s="59" t="s">
        <v>8</v>
      </c>
      <c r="C5"/>
    </row>
    <row r="7" spans="2:5" x14ac:dyDescent="0.35">
      <c r="B7" s="103" t="s">
        <v>9</v>
      </c>
      <c r="C7" s="104"/>
    </row>
    <row r="8" spans="2:5" ht="126.75" customHeight="1" x14ac:dyDescent="0.35">
      <c r="B8" s="174" t="s">
        <v>174</v>
      </c>
      <c r="C8" s="175"/>
    </row>
    <row r="9" spans="2:5" ht="18.75" customHeight="1" x14ac:dyDescent="0.35">
      <c r="C9"/>
    </row>
    <row r="10" spans="2:5" ht="18.75" customHeight="1" x14ac:dyDescent="0.35">
      <c r="B10" s="136" t="s">
        <v>142</v>
      </c>
      <c r="C10" s="137" t="s">
        <v>143</v>
      </c>
    </row>
    <row r="11" spans="2:5" x14ac:dyDescent="0.35">
      <c r="B11" s="17" t="s">
        <v>167</v>
      </c>
      <c r="C11" s="18"/>
    </row>
    <row r="12" spans="2:5" x14ac:dyDescent="0.35">
      <c r="B12" s="3" t="s">
        <v>122</v>
      </c>
      <c r="C12" s="4"/>
    </row>
    <row r="13" spans="2:5" x14ac:dyDescent="0.35">
      <c r="B13" s="3" t="s">
        <v>10</v>
      </c>
      <c r="C13" s="5">
        <f>C12</f>
        <v>0</v>
      </c>
    </row>
    <row r="14" spans="2:5" x14ac:dyDescent="0.35">
      <c r="B14" s="3" t="s">
        <v>11</v>
      </c>
      <c r="C14" s="6">
        <f>C13+2</f>
        <v>2</v>
      </c>
    </row>
    <row r="15" spans="2:5" x14ac:dyDescent="0.35">
      <c r="B15" s="3" t="s">
        <v>165</v>
      </c>
      <c r="C15" s="4"/>
      <c r="E15" s="78"/>
    </row>
    <row r="16" spans="2:5" x14ac:dyDescent="0.35">
      <c r="B16" s="3" t="s">
        <v>166</v>
      </c>
      <c r="C16" s="4"/>
    </row>
    <row r="17" spans="2:3" x14ac:dyDescent="0.35">
      <c r="B17" s="3" t="s">
        <v>175</v>
      </c>
      <c r="C17" s="6">
        <f>C15+C16</f>
        <v>0</v>
      </c>
    </row>
    <row r="18" spans="2:3" x14ac:dyDescent="0.35">
      <c r="B18" s="3" t="s">
        <v>176</v>
      </c>
      <c r="C18" s="6">
        <f>C17*12</f>
        <v>0</v>
      </c>
    </row>
    <row r="19" spans="2:3" x14ac:dyDescent="0.35">
      <c r="B19" s="3" t="s">
        <v>12</v>
      </c>
      <c r="C19" s="7" t="e">
        <f>C15/C17</f>
        <v>#DIV/0!</v>
      </c>
    </row>
    <row r="20" spans="2:3" x14ac:dyDescent="0.35">
      <c r="B20" s="3" t="s">
        <v>13</v>
      </c>
      <c r="C20" s="7" t="e">
        <f>C16/C17</f>
        <v>#DIV/0!</v>
      </c>
    </row>
    <row r="21" spans="2:3" x14ac:dyDescent="0.35">
      <c r="B21" s="9" t="s">
        <v>147</v>
      </c>
      <c r="C21" s="141"/>
    </row>
    <row r="22" spans="2:3" ht="19.5" customHeight="1" x14ac:dyDescent="0.35">
      <c r="B22" s="69"/>
      <c r="C22" s="138"/>
    </row>
    <row r="23" spans="2:3" x14ac:dyDescent="0.35">
      <c r="B23" s="139" t="s">
        <v>164</v>
      </c>
      <c r="C23" s="140" t="s">
        <v>143</v>
      </c>
    </row>
    <row r="24" spans="2:3" x14ac:dyDescent="0.35">
      <c r="B24" s="3" t="s">
        <v>170</v>
      </c>
      <c r="C24" s="142"/>
    </row>
    <row r="25" spans="2:3" x14ac:dyDescent="0.35">
      <c r="B25" s="3" t="s">
        <v>171</v>
      </c>
      <c r="C25" s="142"/>
    </row>
    <row r="26" spans="2:3" x14ac:dyDescent="0.35">
      <c r="B26" s="3" t="s">
        <v>172</v>
      </c>
      <c r="C26" s="142"/>
    </row>
    <row r="27" spans="2:3" x14ac:dyDescent="0.35">
      <c r="B27" s="3" t="s">
        <v>173</v>
      </c>
      <c r="C27" s="142"/>
    </row>
    <row r="28" spans="2:3" x14ac:dyDescent="0.35">
      <c r="B28" s="3" t="s">
        <v>200</v>
      </c>
      <c r="C28" s="4"/>
    </row>
    <row r="29" spans="2:3" x14ac:dyDescent="0.35">
      <c r="B29" s="3" t="s">
        <v>14</v>
      </c>
      <c r="C29" s="7">
        <f>IF(C24="Seleziona",0.32,IF(C25="Seleziona",0.4,IF(C26="Seleziona",0.5,IF(C27="Seleziona",0,C28/84))))</f>
        <v>0</v>
      </c>
    </row>
    <row r="30" spans="2:3" x14ac:dyDescent="0.35">
      <c r="B30" s="9" t="s">
        <v>15</v>
      </c>
      <c r="C30" s="10">
        <f>1-C29</f>
        <v>1</v>
      </c>
    </row>
    <row r="31" spans="2:3" x14ac:dyDescent="0.35">
      <c r="C31" s="11"/>
    </row>
    <row r="32" spans="2:3" x14ac:dyDescent="0.35">
      <c r="C32" s="37" t="s">
        <v>24</v>
      </c>
    </row>
  </sheetData>
  <sheetProtection algorithmName="SHA-512" hashValue="nye1s3jFKQTAhqBlAgir9VcaLZc9c/xpw2XC7UL6aZpmRwXltZA3CG38a1aqmZgsbToR0hfiS2DZjWKnNe4Zyg==" saltValue="geTgSw/JTnO8Isof0gt/Jg==" spinCount="100000" sheet="1" objects="1" scenarios="1"/>
  <mergeCells count="1">
    <mergeCell ref="B8:C8"/>
  </mergeCells>
  <dataValidations count="2">
    <dataValidation type="whole" allowBlank="1" showInputMessage="1" showErrorMessage="1" sqref="C28" xr:uid="{06C83D75-CD94-4CDB-9AFB-1E77D6AAF992}">
      <formula1>1</formula1>
      <formula2>84</formula2>
    </dataValidation>
    <dataValidation type="list" allowBlank="1" showInputMessage="1" showErrorMessage="1" sqref="C24:C28" xr:uid="{D068C4B2-75C8-49A2-9D77-8EF1AAACF4D8}">
      <formula1>"Seleziona"</formula1>
    </dataValidation>
  </dataValidations>
  <hyperlinks>
    <hyperlink ref="C32" location="RettificaDatiFam!A1" display="Avanti" xr:uid="{44CD2487-EBCB-41D8-9410-25A58200037C}"/>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52F0-0326-4B11-8AE3-3DC7E860B504}">
  <dimension ref="B2:C17"/>
  <sheetViews>
    <sheetView showGridLines="0" workbookViewId="0">
      <selection activeCell="C13" sqref="C13"/>
    </sheetView>
  </sheetViews>
  <sheetFormatPr defaultRowHeight="14.5" x14ac:dyDescent="0.35"/>
  <cols>
    <col min="2" max="2" width="84.54296875" bestFit="1" customWidth="1"/>
    <col min="3" max="3" width="13.26953125" customWidth="1"/>
  </cols>
  <sheetData>
    <row r="2" spans="2:3" x14ac:dyDescent="0.35">
      <c r="B2" s="103" t="s">
        <v>193</v>
      </c>
      <c r="C2" s="104"/>
    </row>
    <row r="3" spans="2:3" ht="132.75" customHeight="1" x14ac:dyDescent="0.35">
      <c r="B3" s="174" t="s">
        <v>202</v>
      </c>
      <c r="C3" s="175"/>
    </row>
    <row r="5" spans="2:3" x14ac:dyDescent="0.35">
      <c r="B5" s="136" t="s">
        <v>142</v>
      </c>
      <c r="C5" s="137" t="s">
        <v>143</v>
      </c>
    </row>
    <row r="6" spans="2:3" x14ac:dyDescent="0.35">
      <c r="B6" s="3" t="s">
        <v>196</v>
      </c>
      <c r="C6" s="4"/>
    </row>
    <row r="7" spans="2:3" x14ac:dyDescent="0.35">
      <c r="B7" s="3" t="s">
        <v>197</v>
      </c>
      <c r="C7" s="4"/>
    </row>
    <row r="8" spans="2:3" x14ac:dyDescent="0.35">
      <c r="B8" s="3" t="s">
        <v>195</v>
      </c>
      <c r="C8" s="6">
        <f>IF(COUNTBLANK(C6:C7)=2,0,1)</f>
        <v>0</v>
      </c>
    </row>
    <row r="9" spans="2:3" x14ac:dyDescent="0.35">
      <c r="B9" s="3" t="s">
        <v>194</v>
      </c>
      <c r="C9" s="6">
        <f>IF(C8=1,RedditoCNCValNOW+RedditoCCValNOW,DatiFamiliari!C17)</f>
        <v>0</v>
      </c>
    </row>
    <row r="10" spans="2:3" x14ac:dyDescent="0.35">
      <c r="B10" s="3" t="s">
        <v>176</v>
      </c>
      <c r="C10" s="6">
        <f>C9*12</f>
        <v>0</v>
      </c>
    </row>
    <row r="11" spans="2:3" x14ac:dyDescent="0.35">
      <c r="B11" s="3" t="s">
        <v>196</v>
      </c>
      <c r="C11" s="6">
        <f>IF(C8=0,RedditoCNCValore,C6)</f>
        <v>0</v>
      </c>
    </row>
    <row r="12" spans="2:3" x14ac:dyDescent="0.35">
      <c r="B12" s="3" t="s">
        <v>197</v>
      </c>
      <c r="C12" s="6">
        <f>IF(C8=0,RedditoCCValore,C7)</f>
        <v>0</v>
      </c>
    </row>
    <row r="13" spans="2:3" x14ac:dyDescent="0.35">
      <c r="B13" s="3" t="s">
        <v>198</v>
      </c>
      <c r="C13" s="7" t="e">
        <f>RedditoCNCValNOW/(RedditoCNCValNOW+RedditoCCValNOW)</f>
        <v>#DIV/0!</v>
      </c>
    </row>
    <row r="14" spans="2:3" x14ac:dyDescent="0.35">
      <c r="B14" s="3" t="s">
        <v>199</v>
      </c>
      <c r="C14" s="7" t="e">
        <f>RedditoCCValNOW/(RedditoCNCValNOW+RedditoCCValNOW)</f>
        <v>#DIV/0!</v>
      </c>
    </row>
    <row r="15" spans="2:3" x14ac:dyDescent="0.35">
      <c r="B15" s="69"/>
      <c r="C15" s="130"/>
    </row>
    <row r="16" spans="2:3" x14ac:dyDescent="0.35">
      <c r="C16" s="11"/>
    </row>
    <row r="17" spans="2:3" x14ac:dyDescent="0.35">
      <c r="B17" s="160" t="s">
        <v>25</v>
      </c>
      <c r="C17" s="37" t="s">
        <v>24</v>
      </c>
    </row>
  </sheetData>
  <sheetProtection algorithmName="SHA-512" hashValue="I0xCYsAEpINa8e4FacBiz8pPX13bkxd0O1sVR131N8BvUIfZ/nd6N8qLo+F6w4D8JqSx7X9/WoYgTA6x7aKhUA==" saltValue="VJu5c26lzy+/00kBSMiF5A==" spinCount="100000" sheet="1" objects="1" scenarios="1"/>
  <mergeCells count="1">
    <mergeCell ref="B3:C3"/>
  </mergeCells>
  <hyperlinks>
    <hyperlink ref="C17" location="SpeseFisse!A1" display="Avanti" xr:uid="{DED41280-E601-46EA-8FDE-CF40A4F0FBC8}"/>
    <hyperlink ref="B17" location="DatiFamiliari!A1" display="Indietro" xr:uid="{657BFC36-3428-47CB-8CE5-C744E5FC6417}"/>
  </hyperlink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033C-A588-4D71-8409-365BC5157F23}">
  <sheetPr codeName="Foglio3"/>
  <dimension ref="B2:F28"/>
  <sheetViews>
    <sheetView showGridLines="0" showRowColHeaders="0" topLeftCell="A4" zoomScale="90" zoomScaleNormal="90" workbookViewId="0">
      <selection activeCell="C23" sqref="C23"/>
    </sheetView>
  </sheetViews>
  <sheetFormatPr defaultColWidth="8.81640625" defaultRowHeight="14.5" x14ac:dyDescent="0.35"/>
  <cols>
    <col min="2" max="2" width="150.1796875" customWidth="1"/>
    <col min="3" max="3" width="15" style="1" bestFit="1" customWidth="1"/>
    <col min="5" max="5" width="9.453125" bestFit="1" customWidth="1"/>
  </cols>
  <sheetData>
    <row r="2" spans="2:3" x14ac:dyDescent="0.35">
      <c r="C2" s="11"/>
    </row>
    <row r="3" spans="2:3" x14ac:dyDescent="0.35">
      <c r="B3" s="103" t="s">
        <v>16</v>
      </c>
      <c r="C3" s="104"/>
    </row>
    <row r="4" spans="2:3" ht="294.75" customHeight="1" x14ac:dyDescent="0.35">
      <c r="B4" s="174" t="s">
        <v>158</v>
      </c>
      <c r="C4" s="175"/>
    </row>
    <row r="6" spans="2:3" x14ac:dyDescent="0.35">
      <c r="B6" t="s">
        <v>142</v>
      </c>
      <c r="C6" s="1" t="s">
        <v>143</v>
      </c>
    </row>
    <row r="7" spans="2:3" x14ac:dyDescent="0.35">
      <c r="B7" s="17" t="s">
        <v>97</v>
      </c>
      <c r="C7" s="18"/>
    </row>
    <row r="8" spans="2:3" x14ac:dyDescent="0.35">
      <c r="B8" s="3" t="s">
        <v>98</v>
      </c>
      <c r="C8" s="4"/>
    </row>
    <row r="9" spans="2:3" x14ac:dyDescent="0.35">
      <c r="B9" s="3" t="s">
        <v>99</v>
      </c>
      <c r="C9" s="4"/>
    </row>
    <row r="10" spans="2:3" x14ac:dyDescent="0.35">
      <c r="B10" s="3" t="s">
        <v>100</v>
      </c>
      <c r="C10" s="4"/>
    </row>
    <row r="11" spans="2:3" x14ac:dyDescent="0.35">
      <c r="B11" s="3" t="s">
        <v>101</v>
      </c>
      <c r="C11" s="6">
        <f>C9+C10</f>
        <v>0</v>
      </c>
    </row>
    <row r="12" spans="2:3" x14ac:dyDescent="0.35">
      <c r="B12" s="3" t="s">
        <v>102</v>
      </c>
      <c r="C12" s="4"/>
    </row>
    <row r="13" spans="2:3" x14ac:dyDescent="0.35">
      <c r="B13" s="3" t="s">
        <v>103</v>
      </c>
      <c r="C13" s="4"/>
    </row>
    <row r="14" spans="2:3" x14ac:dyDescent="0.35">
      <c r="B14" s="3" t="s">
        <v>94</v>
      </c>
      <c r="C14" s="4"/>
    </row>
    <row r="15" spans="2:3" x14ac:dyDescent="0.35">
      <c r="B15" s="3" t="s">
        <v>95</v>
      </c>
      <c r="C15" s="4"/>
    </row>
    <row r="16" spans="2:3" x14ac:dyDescent="0.35">
      <c r="B16" s="3" t="s">
        <v>96</v>
      </c>
      <c r="C16" s="4"/>
    </row>
    <row r="17" spans="2:6" x14ac:dyDescent="0.35">
      <c r="B17" s="3" t="s">
        <v>104</v>
      </c>
      <c r="C17" s="4"/>
    </row>
    <row r="18" spans="2:6" x14ac:dyDescent="0.35">
      <c r="B18" s="3" t="s">
        <v>169</v>
      </c>
      <c r="C18" s="4"/>
    </row>
    <row r="19" spans="2:6" x14ac:dyDescent="0.35">
      <c r="B19" s="3" t="s">
        <v>189</v>
      </c>
      <c r="C19" s="6">
        <f>((RedditoFamiliare-RisparmioValore)*0.06)/NumeroFamiliari*NumeroFigli</f>
        <v>0</v>
      </c>
    </row>
    <row r="20" spans="2:6" x14ac:dyDescent="0.35">
      <c r="B20" s="3" t="s">
        <v>201</v>
      </c>
      <c r="C20" s="4"/>
    </row>
    <row r="21" spans="2:6" x14ac:dyDescent="0.35">
      <c r="B21" s="3" t="s">
        <v>91</v>
      </c>
      <c r="C21" s="39">
        <f>IF(AND(RedditoFamAnnuo&gt;0,RedditoFamAnnuo&lt;=Fonti!B12),0,IF(AND(RedditoFamAnnuo&gt;Fonti!B12,RedditoFamAnnuo&lt;=Fonti!B13),Fonti!E12,IF(AND(RedditoFamAnnuo&gt;Fonti!B13,RedditoFamAnnuo&lt;=Fonti!B14),Fonti!E13,IF(AND(RedditoFamAnnuo&gt;Fonti!B14,RedditoFamAnnuo&lt;=Fonti!B15),Fonti!E14,IF(AND(RedditoFamAnnuo&gt;Fonti!B15,RedditoFamAnnuo&lt;=Fonti!B16),Fonti!E15,0.6)))))</f>
        <v>0.6</v>
      </c>
    </row>
    <row r="22" spans="2:6" x14ac:dyDescent="0.35">
      <c r="B22" s="79" t="s">
        <v>23</v>
      </c>
      <c r="C22" s="82">
        <f>SUM(C7:C18)-AffittoCasaConiugale</f>
        <v>0</v>
      </c>
    </row>
    <row r="23" spans="2:6" x14ac:dyDescent="0.35">
      <c r="B23" s="3" t="s">
        <v>17</v>
      </c>
      <c r="C23" s="6">
        <f>RedditoFamiliare-SpeseFisse</f>
        <v>0</v>
      </c>
    </row>
    <row r="24" spans="2:6" x14ac:dyDescent="0.35">
      <c r="B24" s="3" t="s">
        <v>93</v>
      </c>
      <c r="C24" s="6">
        <f>IF(C20="SI",SpesaOrdinariaTotale*RisparmioPerc,0)</f>
        <v>0</v>
      </c>
    </row>
    <row r="25" spans="2:6" x14ac:dyDescent="0.35">
      <c r="B25" s="3" t="s">
        <v>168</v>
      </c>
      <c r="C25" s="6">
        <f>(SpesaOrdinariaTotale-RisparmioValore)/NumeroFamiliari*NumeroFigli</f>
        <v>0</v>
      </c>
    </row>
    <row r="26" spans="2:6" ht="16" x14ac:dyDescent="0.5">
      <c r="B26" s="96" t="s">
        <v>26</v>
      </c>
      <c r="C26" s="97">
        <f>C25</f>
        <v>0</v>
      </c>
      <c r="E26" s="80"/>
      <c r="F26" s="80"/>
    </row>
    <row r="27" spans="2:6" x14ac:dyDescent="0.35">
      <c r="B27" s="176"/>
      <c r="C27" s="176"/>
      <c r="D27" s="176"/>
      <c r="E27" s="176"/>
    </row>
    <row r="28" spans="2:6" x14ac:dyDescent="0.35">
      <c r="B28" s="81" t="s">
        <v>25</v>
      </c>
      <c r="C28" s="37" t="s">
        <v>24</v>
      </c>
    </row>
  </sheetData>
  <sheetProtection algorithmName="SHA-512" hashValue="tRCB9zm5Snb3qOjMdCtwQ/6GJtbq4r03gNIb6brxc5/JyFq6Zkzbc1SJAmu3KigiD2bKRWrXqT0O7oTQjWRAXg==" saltValue="UUF2Z1U2LPfWP1Uycc32gQ==" spinCount="100000" sheet="1" objects="1" scenarios="1"/>
  <mergeCells count="2">
    <mergeCell ref="B27:E27"/>
    <mergeCell ref="B4:C4"/>
  </mergeCells>
  <dataValidations count="1">
    <dataValidation type="list" allowBlank="1" showInputMessage="1" showErrorMessage="1" sqref="C20" xr:uid="{C0858E9B-D672-4577-B71F-8013C95771E0}">
      <formula1>"SI,NO"</formula1>
    </dataValidation>
  </dataValidations>
  <hyperlinks>
    <hyperlink ref="C28" location="CostoCasaConiugale!A1" display="Avanti" xr:uid="{0996897B-FBD8-482F-B168-CFA12583FBF6}"/>
    <hyperlink ref="B28" location="RettificaDatiFam!A1" display="Indietro" xr:uid="{4284491C-C857-4D69-B830-18C25B1C8914}"/>
  </hyperlinks>
  <pageMargins left="0.7" right="0.7" top="0.75" bottom="0.75" header="0.3" footer="0.3"/>
  <pageSetup paperSize="9" orientation="portrait" r:id="rId1"/>
  <ignoredErrors>
    <ignoredError sqref="C19"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A8CCE-C35A-4B0D-AE05-FB05AB44EE49}">
  <sheetPr codeName="Foglio5"/>
  <dimension ref="B1:E18"/>
  <sheetViews>
    <sheetView showGridLines="0" showRowColHeaders="0" workbookViewId="0">
      <selection activeCell="C16" sqref="C16"/>
    </sheetView>
  </sheetViews>
  <sheetFormatPr defaultColWidth="8.81640625" defaultRowHeight="14.5" x14ac:dyDescent="0.35"/>
  <cols>
    <col min="2" max="2" width="128.1796875" customWidth="1"/>
    <col min="3" max="3" width="16.81640625" style="1" customWidth="1"/>
    <col min="5" max="5" width="9.453125" bestFit="1" customWidth="1"/>
  </cols>
  <sheetData>
    <row r="1" spans="2:5" x14ac:dyDescent="0.35">
      <c r="C1" s="11"/>
    </row>
    <row r="2" spans="2:5" x14ac:dyDescent="0.35">
      <c r="B2" s="105" t="s">
        <v>66</v>
      </c>
      <c r="C2" s="106"/>
    </row>
    <row r="3" spans="2:5" x14ac:dyDescent="0.35">
      <c r="B3" s="176"/>
      <c r="C3" s="176"/>
      <c r="D3" s="176"/>
      <c r="E3" s="176"/>
    </row>
    <row r="4" spans="2:5" ht="236.25" customHeight="1" x14ac:dyDescent="0.35">
      <c r="B4" s="177" t="s">
        <v>144</v>
      </c>
      <c r="C4" s="178"/>
    </row>
    <row r="6" spans="2:5" x14ac:dyDescent="0.35">
      <c r="B6" t="s">
        <v>142</v>
      </c>
      <c r="C6" s="1" t="s">
        <v>143</v>
      </c>
    </row>
    <row r="7" spans="2:5" x14ac:dyDescent="0.35">
      <c r="B7" s="83" t="s">
        <v>177</v>
      </c>
      <c r="C7" s="18"/>
    </row>
    <row r="8" spans="2:5" x14ac:dyDescent="0.35">
      <c r="B8" s="84" t="s">
        <v>64</v>
      </c>
      <c r="C8" s="8"/>
    </row>
    <row r="9" spans="2:5" x14ac:dyDescent="0.35">
      <c r="B9" s="84" t="s">
        <v>65</v>
      </c>
      <c r="C9" s="39">
        <f>1-C8</f>
        <v>1</v>
      </c>
    </row>
    <row r="10" spans="2:5" x14ac:dyDescent="0.35">
      <c r="B10" s="84" t="s">
        <v>178</v>
      </c>
      <c r="C10" s="4"/>
    </row>
    <row r="11" spans="2:5" x14ac:dyDescent="0.35">
      <c r="B11" s="84" t="s">
        <v>179</v>
      </c>
      <c r="C11" s="4"/>
    </row>
    <row r="12" spans="2:5" x14ac:dyDescent="0.35">
      <c r="B12" s="84" t="s">
        <v>69</v>
      </c>
      <c r="C12" s="6">
        <f>IF(C10="SI",C7,((C7/(NumeroFigli+1))))</f>
        <v>0</v>
      </c>
    </row>
    <row r="13" spans="2:5" x14ac:dyDescent="0.35">
      <c r="B13" s="84" t="s">
        <v>67</v>
      </c>
      <c r="C13" s="6">
        <f>C12*C8</f>
        <v>0</v>
      </c>
    </row>
    <row r="14" spans="2:5" x14ac:dyDescent="0.35">
      <c r="B14" s="84" t="s">
        <v>68</v>
      </c>
      <c r="C14" s="6">
        <f>C12*C9</f>
        <v>0</v>
      </c>
    </row>
    <row r="15" spans="2:5" x14ac:dyDescent="0.35">
      <c r="B15" s="84" t="s">
        <v>141</v>
      </c>
      <c r="C15" s="6">
        <f>CostoCasaConiugale/(NumeroFamiliari-1)*NumeroFigli</f>
        <v>0</v>
      </c>
    </row>
    <row r="16" spans="2:5" x14ac:dyDescent="0.35">
      <c r="B16" s="84" t="s">
        <v>74</v>
      </c>
      <c r="C16" s="6">
        <f>IF(C11="SI",(CostoCasaConiugale*C8)/(NumeroFigli+1),0)</f>
        <v>0</v>
      </c>
    </row>
    <row r="17" spans="2:3" x14ac:dyDescent="0.35">
      <c r="C17" s="12"/>
    </row>
    <row r="18" spans="2:3" x14ac:dyDescent="0.35">
      <c r="B18" s="81" t="s">
        <v>25</v>
      </c>
      <c r="C18" s="37" t="s">
        <v>24</v>
      </c>
    </row>
  </sheetData>
  <sheetProtection algorithmName="SHA-512" hashValue="2GTEiKaeQ0AJY9z247iWbb862Ci1K0L66CQrLofTGJCs4Jpsj1zaYIBJuBJhOIecS1d/0UrCtG5nwvzYooFAWA==" saltValue="A1OAFuqH8RcNNHZyx6YXzQ==" spinCount="100000" sheet="1" objects="1" scenarios="1"/>
  <mergeCells count="2">
    <mergeCell ref="B3:E3"/>
    <mergeCell ref="B4:C4"/>
  </mergeCells>
  <dataValidations count="1">
    <dataValidation type="list" allowBlank="1" showInputMessage="1" showErrorMessage="1" sqref="C10:C11" xr:uid="{CC590231-FCC8-4F90-B1C0-02ACA47F0A51}">
      <formula1>"SI,NO"</formula1>
    </dataValidation>
  </dataValidations>
  <hyperlinks>
    <hyperlink ref="B18" location="SpeseFisse!A1" display="Indietro" xr:uid="{07822C8D-525C-472D-B8C3-CA2A4AE7AC04}"/>
    <hyperlink ref="C18" location="CostiPostSeparazione!A1" display="Avanti" xr:uid="{2D8EC929-FE97-43AC-BE5B-4CE95A5C110E}"/>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35444-BC23-42AA-AF2E-4EDC364A12C5}">
  <sheetPr codeName="Foglio6"/>
  <dimension ref="B1:J14"/>
  <sheetViews>
    <sheetView showGridLines="0" tabSelected="1" workbookViewId="0">
      <selection activeCell="C10" sqref="C10"/>
    </sheetView>
  </sheetViews>
  <sheetFormatPr defaultColWidth="8.81640625" defaultRowHeight="14.5" x14ac:dyDescent="0.35"/>
  <cols>
    <col min="2" max="2" width="102.81640625" customWidth="1"/>
    <col min="3" max="3" width="15" style="1" bestFit="1" customWidth="1"/>
    <col min="5" max="5" width="9.453125" bestFit="1" customWidth="1"/>
  </cols>
  <sheetData>
    <row r="1" spans="2:10" x14ac:dyDescent="0.35">
      <c r="C1" s="12"/>
    </row>
    <row r="2" spans="2:10" x14ac:dyDescent="0.35">
      <c r="B2" s="103" t="s">
        <v>18</v>
      </c>
      <c r="C2" s="104"/>
    </row>
    <row r="3" spans="2:10" ht="189.75" customHeight="1" x14ac:dyDescent="0.35">
      <c r="B3" s="174" t="s">
        <v>191</v>
      </c>
      <c r="C3" s="175"/>
    </row>
    <row r="5" spans="2:10" x14ac:dyDescent="0.35">
      <c r="B5" t="s">
        <v>142</v>
      </c>
      <c r="C5" s="1" t="s">
        <v>143</v>
      </c>
    </row>
    <row r="6" spans="2:10" x14ac:dyDescent="0.35">
      <c r="B6" s="17" t="s">
        <v>73</v>
      </c>
      <c r="C6" s="18"/>
    </row>
    <row r="7" spans="2:10" x14ac:dyDescent="0.35">
      <c r="B7" s="3" t="s">
        <v>70</v>
      </c>
      <c r="C7" s="6">
        <f>IF(CostoNuovaCasa&lt;CostoCasaConiugale,CostoNuovaCasa/(NumeroFigli+1),CostoCasaConiugale/(NumeroFigli+1))</f>
        <v>0</v>
      </c>
      <c r="F7" s="80"/>
    </row>
    <row r="8" spans="2:10" x14ac:dyDescent="0.35">
      <c r="B8" s="3" t="s">
        <v>71</v>
      </c>
      <c r="C8" s="6">
        <f>IF(CostoNuovaCasa&lt;CostoCasaConiugale,CostoNuovaCasa-C7,CostoCasaConiugale-C7)</f>
        <v>0</v>
      </c>
    </row>
    <row r="9" spans="2:10" x14ac:dyDescent="0.35">
      <c r="C9" s="12"/>
    </row>
    <row r="10" spans="2:10" x14ac:dyDescent="0.35">
      <c r="B10" s="81" t="s">
        <v>25</v>
      </c>
      <c r="C10" s="37" t="s">
        <v>24</v>
      </c>
    </row>
    <row r="11" spans="2:10" x14ac:dyDescent="0.35">
      <c r="E11" s="113"/>
      <c r="F11" s="113"/>
      <c r="G11" s="113"/>
    </row>
    <row r="12" spans="2:10" x14ac:dyDescent="0.35">
      <c r="E12" s="113"/>
      <c r="F12" s="113"/>
      <c r="G12" s="113"/>
      <c r="J12" s="113"/>
    </row>
    <row r="14" spans="2:10" x14ac:dyDescent="0.35">
      <c r="G14" s="113"/>
    </row>
  </sheetData>
  <sheetProtection algorithmName="SHA-512" hashValue="VxWq7ob8hPbU66GJcl3+CnAigzktZTvGaqGnvNgXXHu/ylJDwGPa7OfU1f4xvsRO3g30fxeZMYML4Dd3OQeAow==" saltValue="Ey512x7beF7DgETYO+eZEA==" spinCount="100000" sheet="1" objects="1" scenarios="1"/>
  <mergeCells count="1">
    <mergeCell ref="B3:C3"/>
  </mergeCells>
  <hyperlinks>
    <hyperlink ref="B10" location="ScaleEquivalenza!A1" display="Indietro" xr:uid="{23A0D5E6-C5A7-4F1B-8D0E-3D741342346F}"/>
    <hyperlink ref="C10" location="CalcoloAssegno!A1" display="Avanti" xr:uid="{9962A064-3375-47C3-B075-7CB874822EAF}"/>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846B-8E20-42DF-BC0A-C0208F2B7C03}">
  <sheetPr codeName="Foglio7"/>
  <dimension ref="B1:S35"/>
  <sheetViews>
    <sheetView showGridLines="0" showRowColHeaders="0" topLeftCell="A3" workbookViewId="0">
      <selection activeCell="C33" sqref="C33"/>
    </sheetView>
  </sheetViews>
  <sheetFormatPr defaultColWidth="8.81640625" defaultRowHeight="14.5" x14ac:dyDescent="0.35"/>
  <cols>
    <col min="2" max="2" width="119.81640625" customWidth="1"/>
    <col min="3" max="3" width="12" style="1" customWidth="1"/>
    <col min="4" max="4" width="11.1796875" bestFit="1" customWidth="1"/>
    <col min="5" max="5" width="11.54296875" bestFit="1" customWidth="1"/>
  </cols>
  <sheetData>
    <row r="1" spans="2:19" x14ac:dyDescent="0.35">
      <c r="C1"/>
    </row>
    <row r="2" spans="2:19" ht="329.15" customHeight="1" x14ac:dyDescent="0.35">
      <c r="B2" s="177" t="s">
        <v>188</v>
      </c>
      <c r="C2" s="178"/>
    </row>
    <row r="3" spans="2:19" s="69" customFormat="1" ht="14.5" customHeight="1" x14ac:dyDescent="0.35">
      <c r="B3" s="143"/>
    </row>
    <row r="4" spans="2:19" s="69" customFormat="1" ht="14.5" customHeight="1" x14ac:dyDescent="0.35">
      <c r="B4" s="145" t="s">
        <v>181</v>
      </c>
      <c r="C4" s="146" t="s">
        <v>150</v>
      </c>
    </row>
    <row r="5" spans="2:19" x14ac:dyDescent="0.35">
      <c r="B5" s="17" t="s">
        <v>182</v>
      </c>
      <c r="C5" s="74">
        <f>TenoreVitaFigli*FreqCNC</f>
        <v>0</v>
      </c>
    </row>
    <row r="6" spans="2:19" x14ac:dyDescent="0.35">
      <c r="B6" s="3" t="s">
        <v>183</v>
      </c>
      <c r="C6" s="6">
        <f>TenoreVitaFigli*FreqCC</f>
        <v>0</v>
      </c>
    </row>
    <row r="7" spans="2:19" x14ac:dyDescent="0.35">
      <c r="B7" s="3" t="s">
        <v>21</v>
      </c>
      <c r="C7" s="6" t="e">
        <f>TenoreVitaFigli*RedditoCNCNow</f>
        <v>#DIV/0!</v>
      </c>
      <c r="F7" s="80"/>
    </row>
    <row r="8" spans="2:19" x14ac:dyDescent="0.35">
      <c r="B8" s="9" t="s">
        <v>22</v>
      </c>
      <c r="C8" s="147" t="e">
        <f>TenoreVitaFigli*RedditoCCNow</f>
        <v>#DIV/0!</v>
      </c>
    </row>
    <row r="9" spans="2:19" s="69" customFormat="1" x14ac:dyDescent="0.35">
      <c r="C9" s="144"/>
    </row>
    <row r="10" spans="2:19" s="69" customFormat="1" x14ac:dyDescent="0.35">
      <c r="B10" s="156" t="s">
        <v>190</v>
      </c>
      <c r="C10" s="157"/>
    </row>
    <row r="11" spans="2:19" x14ac:dyDescent="0.35">
      <c r="B11" s="159" t="s">
        <v>184</v>
      </c>
      <c r="C11" s="155" t="e">
        <f>C7-C5</f>
        <v>#DIV/0!</v>
      </c>
    </row>
    <row r="12" spans="2:19" s="69" customFormat="1" x14ac:dyDescent="0.35">
      <c r="B12" s="134"/>
      <c r="C12" s="70"/>
    </row>
    <row r="13" spans="2:19" x14ac:dyDescent="0.35">
      <c r="B13" s="158" t="s">
        <v>72</v>
      </c>
      <c r="C13" s="41" t="e">
        <f>PereqSemplice+(CostoCasaRilevante*RedditoCNCNow)-CostoCasaConiugaleCNC</f>
        <v>#DIV/0!</v>
      </c>
    </row>
    <row r="14" spans="2:19" s="69" customFormat="1" x14ac:dyDescent="0.35">
      <c r="B14" s="135"/>
      <c r="C14" s="71"/>
    </row>
    <row r="15" spans="2:19" x14ac:dyDescent="0.35">
      <c r="B15" s="159" t="s">
        <v>180</v>
      </c>
      <c r="C15" s="40" t="e">
        <f>PereqSemplice+(CostoAbbigliamento*FreqCNC)</f>
        <v>#DIV/0!</v>
      </c>
    </row>
    <row r="16" spans="2:19" s="69" customFormat="1" x14ac:dyDescent="0.35">
      <c r="B16" s="133"/>
      <c r="C16" s="72"/>
      <c r="D16"/>
      <c r="E16"/>
      <c r="F16"/>
      <c r="G16"/>
      <c r="H16"/>
      <c r="I16"/>
      <c r="J16"/>
      <c r="K16"/>
      <c r="L16"/>
      <c r="M16"/>
      <c r="N16"/>
      <c r="O16"/>
      <c r="P16"/>
      <c r="Q16"/>
      <c r="R16"/>
      <c r="S16"/>
    </row>
    <row r="17" spans="2:5" x14ac:dyDescent="0.35">
      <c r="B17" s="148" t="s">
        <v>192</v>
      </c>
      <c r="C17" s="149" t="e">
        <f>SUM(C19:C21)</f>
        <v>#DIV/0!</v>
      </c>
    </row>
    <row r="18" spans="2:5" x14ac:dyDescent="0.35">
      <c r="B18" s="150" t="s">
        <v>185</v>
      </c>
      <c r="C18" s="117">
        <v>1</v>
      </c>
    </row>
    <row r="19" spans="2:5" x14ac:dyDescent="0.35">
      <c r="B19" s="151" t="s">
        <v>187</v>
      </c>
      <c r="C19" s="153" t="e">
        <f>IF(C18=1,PereqSemplice,(IF(C18=3,C15,0)))</f>
        <v>#DIV/0!</v>
      </c>
    </row>
    <row r="20" spans="2:5" x14ac:dyDescent="0.35">
      <c r="B20" s="151" t="s">
        <v>108</v>
      </c>
      <c r="C20" s="153">
        <f>IF(CostoCasaConiugale!C10="SI",(-(CostoCasaRilevante*RedditoCCNow)+CostoCasaConiugaleCC),-GodimentoCasaConiugale)</f>
        <v>0</v>
      </c>
    </row>
    <row r="21" spans="2:5" x14ac:dyDescent="0.35">
      <c r="B21" s="152" t="s">
        <v>109</v>
      </c>
      <c r="C21" s="154" t="e">
        <f>-CostoNuovaCasa*RedditoCCNow</f>
        <v>#DIV/0!</v>
      </c>
    </row>
    <row r="22" spans="2:5" x14ac:dyDescent="0.35">
      <c r="D22" s="126"/>
    </row>
    <row r="23" spans="2:5" x14ac:dyDescent="0.35">
      <c r="D23" s="126"/>
    </row>
    <row r="24" spans="2:5" x14ac:dyDescent="0.35">
      <c r="B24" s="123" t="s">
        <v>186</v>
      </c>
      <c r="C24" s="118" t="s">
        <v>150</v>
      </c>
      <c r="D24" s="124" t="s">
        <v>156</v>
      </c>
      <c r="E24" s="124" t="s">
        <v>157</v>
      </c>
    </row>
    <row r="25" spans="2:5" x14ac:dyDescent="0.35">
      <c r="B25" s="125" t="s">
        <v>151</v>
      </c>
      <c r="C25" s="119" t="e">
        <f>AssegnoEquo</f>
        <v>#DIV/0!</v>
      </c>
      <c r="D25" s="126"/>
      <c r="E25" s="126"/>
    </row>
    <row r="26" spans="2:5" x14ac:dyDescent="0.35">
      <c r="B26" s="125" t="s">
        <v>105</v>
      </c>
      <c r="C26" s="119" t="e">
        <f>RedditoCNCValNOW-MantenimentoDirettoCNC-MutuoCNC-AssegnoEquo-CostoNuovaCasa</f>
        <v>#DIV/0!</v>
      </c>
      <c r="D26" s="127" t="e">
        <f>C26/(C26+C29)</f>
        <v>#DIV/0!</v>
      </c>
      <c r="E26" s="127" t="e">
        <f>RedditoCNCNow</f>
        <v>#DIV/0!</v>
      </c>
    </row>
    <row r="27" spans="2:5" x14ac:dyDescent="0.35">
      <c r="B27" s="128" t="s">
        <v>106</v>
      </c>
      <c r="C27" s="119">
        <f>(SpeseFisse!C14+SpeseFisse!C17)*PercSpeseStraord</f>
        <v>0</v>
      </c>
      <c r="D27" s="127"/>
      <c r="E27" s="127"/>
    </row>
    <row r="28" spans="2:5" x14ac:dyDescent="0.35">
      <c r="B28" s="128" t="s">
        <v>107</v>
      </c>
      <c r="C28" s="119" t="e">
        <f>C26-C27</f>
        <v>#DIV/0!</v>
      </c>
      <c r="D28" s="126"/>
      <c r="E28" s="126"/>
    </row>
    <row r="29" spans="2:5" x14ac:dyDescent="0.35">
      <c r="B29" s="125" t="s">
        <v>138</v>
      </c>
      <c r="C29" s="119" t="e">
        <f>RedditoCCValNOW-MantenimentoDirettoCC+AssegnoEquo</f>
        <v>#DIV/0!</v>
      </c>
      <c r="D29" s="127" t="e">
        <f>C29/(C29+C26)</f>
        <v>#DIV/0!</v>
      </c>
      <c r="E29" s="127" t="e">
        <f>RedditoCCNow</f>
        <v>#DIV/0!</v>
      </c>
    </row>
    <row r="30" spans="2:5" x14ac:dyDescent="0.35">
      <c r="B30" s="128" t="s">
        <v>106</v>
      </c>
      <c r="C30" s="119">
        <f>(SpeseFisse!C14+SpeseFisse!C17)*(1-PercSpeseStraord)</f>
        <v>0</v>
      </c>
      <c r="D30" s="126"/>
      <c r="E30" s="126"/>
    </row>
    <row r="31" spans="2:5" x14ac:dyDescent="0.35">
      <c r="B31" s="128" t="s">
        <v>107</v>
      </c>
      <c r="C31" s="119" t="e">
        <f>C29-C30</f>
        <v>#DIV/0!</v>
      </c>
      <c r="D31" s="126"/>
      <c r="E31" s="126"/>
    </row>
    <row r="32" spans="2:5" x14ac:dyDescent="0.35">
      <c r="B32" s="128" t="s">
        <v>153</v>
      </c>
      <c r="C32" s="119" t="e">
        <f>(D26-E26)*(C26+C29)</f>
        <v>#DIV/0!</v>
      </c>
      <c r="D32" s="126"/>
      <c r="E32" s="126"/>
    </row>
    <row r="33" spans="2:5" x14ac:dyDescent="0.35">
      <c r="B33" s="129" t="s">
        <v>152</v>
      </c>
      <c r="C33" s="120" t="e">
        <f>(C25+C32)</f>
        <v>#DIV/0!</v>
      </c>
      <c r="D33" s="126"/>
      <c r="E33" s="126"/>
    </row>
    <row r="34" spans="2:5" x14ac:dyDescent="0.35">
      <c r="D34" s="126"/>
    </row>
    <row r="35" spans="2:5" x14ac:dyDescent="0.35">
      <c r="B35" s="81" t="s">
        <v>25</v>
      </c>
      <c r="C35" s="37" t="s">
        <v>24</v>
      </c>
    </row>
  </sheetData>
  <sheetProtection algorithmName="SHA-512" hashValue="yghkFhR6IVAzMR2KEf4xEKrk2SBG8o3kTJTsAjCVg8hu9IRi05uOj4TZkner1EUMoQvS6K8//6n32gqvC5+GuQ==" saltValue="hm3Pfk6RgIrKlv+r6HWENw==" spinCount="100000" sheet="1" objects="1" scenarios="1"/>
  <mergeCells count="1">
    <mergeCell ref="B2:C2"/>
  </mergeCells>
  <conditionalFormatting sqref="C26:C31">
    <cfRule type="cellIs" dxfId="27" priority="8" operator="lessThan">
      <formula>0</formula>
    </cfRule>
  </conditionalFormatting>
  <conditionalFormatting sqref="C27">
    <cfRule type="cellIs" dxfId="26" priority="2" operator="greaterThan">
      <formula>$C$26</formula>
    </cfRule>
  </conditionalFormatting>
  <conditionalFormatting sqref="C30">
    <cfRule type="cellIs" dxfId="25" priority="1" operator="greaterThan">
      <formula>$C$29</formula>
    </cfRule>
  </conditionalFormatting>
  <dataValidations count="1">
    <dataValidation type="list" allowBlank="1" showInputMessage="1" showErrorMessage="1" sqref="C18" xr:uid="{0039E750-7FB8-45AB-8C88-2B64DA5F9437}">
      <formula1>"1,3"</formula1>
    </dataValidation>
  </dataValidations>
  <hyperlinks>
    <hyperlink ref="B35" location="CostiPostSeparazione!A1" display="Indietro" xr:uid="{25D0CDF1-2E87-4559-AF0A-2F459FE44BD0}"/>
    <hyperlink ref="C35" location="RIEPILOGO!A1" display="Avanti" xr:uid="{9429E1AC-655F-4DA4-82E7-E5EFC4B63373}"/>
  </hyperlinks>
  <pageMargins left="0.7" right="0.7" top="0.75" bottom="0.75" header="0.3" footer="0.3"/>
  <pageSetup paperSize="9" orientation="portrait" r:id="rId1"/>
  <ignoredErrors>
    <ignoredError sqref="D26 D29" calculatedColumn="1"/>
  </ignoredErrors>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7444D-84D6-4C9F-AC1D-14922F0D7CEB}">
  <sheetPr codeName="Foglio9">
    <tabColor rgb="FF92D050"/>
  </sheetPr>
  <dimension ref="B2:E27"/>
  <sheetViews>
    <sheetView showGridLines="0" showRowColHeaders="0" workbookViewId="0">
      <selection activeCell="C14" sqref="C14"/>
    </sheetView>
  </sheetViews>
  <sheetFormatPr defaultColWidth="8.81640625" defaultRowHeight="14.5" x14ac:dyDescent="0.35"/>
  <cols>
    <col min="2" max="2" width="87.453125" customWidth="1"/>
    <col min="3" max="3" width="9.7265625" style="1" customWidth="1"/>
    <col min="4" max="4" width="15.7265625" customWidth="1"/>
    <col min="5" max="5" width="13.81640625" customWidth="1"/>
  </cols>
  <sheetData>
    <row r="2" spans="2:5" x14ac:dyDescent="0.35">
      <c r="B2" s="103" t="s">
        <v>75</v>
      </c>
      <c r="C2" s="107"/>
    </row>
    <row r="3" spans="2:5" ht="95.25" customHeight="1" x14ac:dyDescent="0.35">
      <c r="B3" s="174" t="s">
        <v>161</v>
      </c>
      <c r="C3" s="175"/>
    </row>
    <row r="4" spans="2:5" x14ac:dyDescent="0.35">
      <c r="B4" s="176"/>
      <c r="C4" s="176"/>
      <c r="D4" s="176"/>
      <c r="E4" s="176"/>
    </row>
    <row r="5" spans="2:5" s="69" customFormat="1" x14ac:dyDescent="0.35">
      <c r="B5" s="116" t="s">
        <v>142</v>
      </c>
      <c r="C5" s="116" t="s">
        <v>150</v>
      </c>
      <c r="D5" s="60" t="s">
        <v>78</v>
      </c>
      <c r="E5" s="60" t="s">
        <v>77</v>
      </c>
    </row>
    <row r="6" spans="2:5" x14ac:dyDescent="0.35">
      <c r="B6" s="108" t="s">
        <v>163</v>
      </c>
      <c r="C6" s="115" t="e">
        <f>AssegnoRidet</f>
        <v>#DIV/0!</v>
      </c>
      <c r="D6" s="56"/>
      <c r="E6" s="56"/>
    </row>
    <row r="7" spans="2:5" x14ac:dyDescent="0.35">
      <c r="B7" s="3" t="s">
        <v>105</v>
      </c>
      <c r="C7" s="6" t="e">
        <f>RedditoCNCValNOW-MantenimentoDirettoCNC-MutuoCNC-AssegnoRidet-CostoNuovaCasa</f>
        <v>#DIV/0!</v>
      </c>
      <c r="D7" s="61" t="e">
        <f>C7/(C7+C10)</f>
        <v>#DIV/0!</v>
      </c>
      <c r="E7" s="61" t="e">
        <f>RedditoCNCNow</f>
        <v>#DIV/0!</v>
      </c>
    </row>
    <row r="8" spans="2:5" x14ac:dyDescent="0.35">
      <c r="B8" s="68" t="s">
        <v>106</v>
      </c>
      <c r="C8" s="6">
        <f>(SpeseFisse!C14+SpeseFisse!C17)*PercSpeseStraord</f>
        <v>0</v>
      </c>
      <c r="D8" s="76"/>
      <c r="E8" s="73"/>
    </row>
    <row r="9" spans="2:5" x14ac:dyDescent="0.35">
      <c r="B9" s="68" t="s">
        <v>107</v>
      </c>
      <c r="C9" s="6" t="e">
        <f>C7-C8</f>
        <v>#DIV/0!</v>
      </c>
      <c r="D9" s="61" t="e">
        <f>C9/(C9+C12)</f>
        <v>#DIV/0!</v>
      </c>
      <c r="E9" s="61"/>
    </row>
    <row r="10" spans="2:5" x14ac:dyDescent="0.35">
      <c r="B10" s="3" t="s">
        <v>138</v>
      </c>
      <c r="C10" s="6" t="e">
        <f>RedditoCCValNOW-MantenimentoDirettoCC+AssegnoRidet</f>
        <v>#DIV/0!</v>
      </c>
      <c r="D10" s="61" t="e">
        <f>C10/(C7+C10)</f>
        <v>#DIV/0!</v>
      </c>
      <c r="E10" s="61" t="e">
        <f>RedditoCCNow</f>
        <v>#DIV/0!</v>
      </c>
    </row>
    <row r="11" spans="2:5" x14ac:dyDescent="0.35">
      <c r="B11" s="68" t="s">
        <v>106</v>
      </c>
      <c r="C11" s="6">
        <f>(SpeseFisse!C14+SpeseFisse!C17)*(1-PercSpeseStraord)</f>
        <v>0</v>
      </c>
      <c r="D11" s="73"/>
      <c r="E11" s="73"/>
    </row>
    <row r="12" spans="2:5" x14ac:dyDescent="0.35">
      <c r="B12" s="68" t="s">
        <v>107</v>
      </c>
      <c r="C12" s="6" t="e">
        <f>C10-C11</f>
        <v>#DIV/0!</v>
      </c>
      <c r="D12" s="61" t="e">
        <f>C12/(C9+C12)</f>
        <v>#DIV/0!</v>
      </c>
      <c r="E12" s="61"/>
    </row>
    <row r="13" spans="2:5" x14ac:dyDescent="0.35">
      <c r="B13" s="88" t="s">
        <v>110</v>
      </c>
      <c r="C13" s="6"/>
      <c r="D13" s="73"/>
      <c r="E13" s="73"/>
    </row>
    <row r="14" spans="2:5" x14ac:dyDescent="0.35">
      <c r="B14" s="68" t="s">
        <v>111</v>
      </c>
      <c r="C14" s="6" t="e">
        <f>MantenimentoDirettoCNC+C6</f>
        <v>#DIV/0!</v>
      </c>
      <c r="D14" s="130"/>
      <c r="E14" s="73"/>
    </row>
    <row r="15" spans="2:5" x14ac:dyDescent="0.35">
      <c r="B15" s="68" t="s">
        <v>112</v>
      </c>
      <c r="C15" s="6" t="e">
        <f>MantenimentoDirettoCC-C6</f>
        <v>#DIV/0!</v>
      </c>
      <c r="D15" s="73"/>
      <c r="E15" s="73"/>
    </row>
    <row r="16" spans="2:5" x14ac:dyDescent="0.35">
      <c r="B16" s="68" t="s">
        <v>159</v>
      </c>
      <c r="C16" s="6" t="e">
        <f>C14+C15</f>
        <v>#DIV/0!</v>
      </c>
      <c r="D16" s="73"/>
      <c r="E16" s="73"/>
    </row>
    <row r="17" spans="2:5" x14ac:dyDescent="0.35">
      <c r="B17" s="68" t="s">
        <v>160</v>
      </c>
      <c r="C17" s="6">
        <f>TenoreVitaFigli</f>
        <v>0</v>
      </c>
      <c r="D17" s="73"/>
      <c r="E17" s="73"/>
    </row>
    <row r="18" spans="2:5" x14ac:dyDescent="0.35">
      <c r="B18" s="68" t="s">
        <v>113</v>
      </c>
      <c r="C18" s="6">
        <f>C8+C11</f>
        <v>0</v>
      </c>
    </row>
    <row r="19" spans="2:5" x14ac:dyDescent="0.35">
      <c r="B19" s="75" t="s">
        <v>30</v>
      </c>
      <c r="C19" s="5" t="e">
        <f>C16+C18</f>
        <v>#DIV/0!</v>
      </c>
    </row>
    <row r="20" spans="2:5" x14ac:dyDescent="0.35">
      <c r="C20" s="13"/>
    </row>
    <row r="21" spans="2:5" x14ac:dyDescent="0.35">
      <c r="B21" s="14" t="s">
        <v>120</v>
      </c>
      <c r="C21" s="15"/>
    </row>
    <row r="22" spans="2:5" x14ac:dyDescent="0.35">
      <c r="B22" s="122" t="s">
        <v>121</v>
      </c>
      <c r="C22" s="85" t="e">
        <f>((VLOOKUP(NumeroFigli,Fonti!A3:I8,2))*RedditoCNCValNOW)</f>
        <v>#N/A</v>
      </c>
    </row>
    <row r="23" spans="2:5" x14ac:dyDescent="0.35">
      <c r="B23" s="87" t="s">
        <v>155</v>
      </c>
      <c r="C23" s="85" t="e">
        <f>C22-C6</f>
        <v>#N/A</v>
      </c>
    </row>
    <row r="24" spans="2:5" x14ac:dyDescent="0.35">
      <c r="B24" s="86" t="s">
        <v>154</v>
      </c>
      <c r="C24" s="85">
        <f>(250*NumeroFigli)</f>
        <v>0</v>
      </c>
    </row>
    <row r="25" spans="2:5" x14ac:dyDescent="0.35">
      <c r="B25" s="121" t="s">
        <v>155</v>
      </c>
      <c r="C25" s="16" t="e">
        <f>C24-C6</f>
        <v>#DIV/0!</v>
      </c>
    </row>
    <row r="27" spans="2:5" x14ac:dyDescent="0.35">
      <c r="C27" s="94" t="s">
        <v>140</v>
      </c>
    </row>
  </sheetData>
  <sheetProtection algorithmName="SHA-512" hashValue="iP65b7G6Jvtj2bKUCoF1QAJJXjIXTWtqQAW9Ykjc02An8nfy3BBMaHIlxYBeuHPcHUN8xwe+/4n9nttmJg7hjg==" saltValue="pg9Ra+8LOjH8euiOTXC4fA==" spinCount="100000" sheet="1" objects="1" scenarios="1"/>
  <mergeCells count="2">
    <mergeCell ref="B3:C3"/>
    <mergeCell ref="B4:E4"/>
  </mergeCells>
  <conditionalFormatting sqref="C7:C12">
    <cfRule type="cellIs" dxfId="13" priority="3" operator="lessThan">
      <formula>0</formula>
    </cfRule>
  </conditionalFormatting>
  <conditionalFormatting sqref="C8">
    <cfRule type="cellIs" dxfId="12" priority="2" operator="greaterThan">
      <formula>$C$7</formula>
    </cfRule>
  </conditionalFormatting>
  <conditionalFormatting sqref="C11">
    <cfRule type="cellIs" dxfId="11" priority="1" operator="greaterThan">
      <formula>$C$10</formula>
    </cfRule>
  </conditionalFormatting>
  <conditionalFormatting sqref="C16">
    <cfRule type="cellIs" dxfId="10" priority="7" operator="equal">
      <formula>$C$17</formula>
    </cfRule>
  </conditionalFormatting>
  <conditionalFormatting sqref="C17">
    <cfRule type="cellIs" dxfId="9" priority="8" operator="equal">
      <formula>$C$16</formula>
    </cfRule>
  </conditionalFormatting>
  <conditionalFormatting sqref="C21:C25">
    <cfRule type="cellIs" dxfId="8" priority="35" operator="greaterThan">
      <formula>#REF!</formula>
    </cfRule>
  </conditionalFormatting>
  <hyperlinks>
    <hyperlink ref="C27" location="Stampa!A1" display="Stampa" xr:uid="{045642BC-DAAF-4FB0-A90E-E0762CF8FBAC}"/>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97B98-4BE3-43B5-B885-A2A4E1986DFB}">
  <sheetPr>
    <pageSetUpPr fitToPage="1"/>
  </sheetPr>
  <dimension ref="B2:C36"/>
  <sheetViews>
    <sheetView showGridLines="0" workbookViewId="0">
      <selection activeCell="C22" sqref="C22"/>
    </sheetView>
  </sheetViews>
  <sheetFormatPr defaultRowHeight="14.5" x14ac:dyDescent="0.35"/>
  <cols>
    <col min="2" max="2" width="81.453125" customWidth="1"/>
    <col min="3" max="3" width="11.7265625" customWidth="1"/>
  </cols>
  <sheetData>
    <row r="2" spans="2:3" x14ac:dyDescent="0.35">
      <c r="B2" s="179" t="s">
        <v>123</v>
      </c>
      <c r="C2" s="180"/>
    </row>
    <row r="3" spans="2:3" x14ac:dyDescent="0.35">
      <c r="B3" s="179" t="s">
        <v>124</v>
      </c>
      <c r="C3" s="180"/>
    </row>
    <row r="4" spans="2:3" x14ac:dyDescent="0.35">
      <c r="B4" s="179" t="s">
        <v>145</v>
      </c>
      <c r="C4" s="180"/>
    </row>
    <row r="6" spans="2:3" x14ac:dyDescent="0.35">
      <c r="B6" s="132" t="s">
        <v>142</v>
      </c>
      <c r="C6" s="132" t="s">
        <v>143</v>
      </c>
    </row>
    <row r="7" spans="2:3" x14ac:dyDescent="0.35">
      <c r="B7" s="89" t="s">
        <v>146</v>
      </c>
      <c r="C7" s="95">
        <f>DatiFamiliari!C11</f>
        <v>0</v>
      </c>
    </row>
    <row r="8" spans="2:3" x14ac:dyDescent="0.35">
      <c r="B8" s="89" t="s">
        <v>10</v>
      </c>
      <c r="C8" s="92">
        <f>NumeroFigli</f>
        <v>0</v>
      </c>
    </row>
    <row r="9" spans="2:3" x14ac:dyDescent="0.35">
      <c r="B9" s="89" t="s">
        <v>11</v>
      </c>
      <c r="C9" s="92">
        <f>NumeroFamiliari</f>
        <v>2</v>
      </c>
    </row>
    <row r="10" spans="2:3" x14ac:dyDescent="0.35">
      <c r="B10" s="89" t="s">
        <v>125</v>
      </c>
      <c r="C10" s="95">
        <f>RedditoCNCValNOW</f>
        <v>0</v>
      </c>
    </row>
    <row r="11" spans="2:3" x14ac:dyDescent="0.35">
      <c r="B11" s="89" t="s">
        <v>126</v>
      </c>
      <c r="C11" s="95">
        <f>RedditoCCValNOW</f>
        <v>0</v>
      </c>
    </row>
    <row r="12" spans="2:3" x14ac:dyDescent="0.35">
      <c r="B12" s="89" t="s">
        <v>127</v>
      </c>
      <c r="C12" s="95">
        <f>RedditoFamiliare</f>
        <v>0</v>
      </c>
    </row>
    <row r="13" spans="2:3" x14ac:dyDescent="0.35">
      <c r="B13" s="89" t="s">
        <v>128</v>
      </c>
      <c r="C13" s="93" t="e">
        <f>RedditoCNCNow</f>
        <v>#DIV/0!</v>
      </c>
    </row>
    <row r="14" spans="2:3" x14ac:dyDescent="0.35">
      <c r="B14" s="89" t="s">
        <v>129</v>
      </c>
      <c r="C14" s="93" t="e">
        <f>RedditoCCNow</f>
        <v>#DIV/0!</v>
      </c>
    </row>
    <row r="15" spans="2:3" x14ac:dyDescent="0.35">
      <c r="B15" s="89" t="s">
        <v>148</v>
      </c>
      <c r="C15" s="93">
        <f>PercSpeseStraord</f>
        <v>0</v>
      </c>
    </row>
    <row r="16" spans="2:3" x14ac:dyDescent="0.35">
      <c r="B16" s="89" t="s">
        <v>130</v>
      </c>
      <c r="C16" s="93">
        <f>FreqCNC</f>
        <v>0</v>
      </c>
    </row>
    <row r="17" spans="2:3" x14ac:dyDescent="0.35">
      <c r="B17" s="89" t="s">
        <v>131</v>
      </c>
      <c r="C17" s="93">
        <f>FreqCC</f>
        <v>1</v>
      </c>
    </row>
    <row r="18" spans="2:3" x14ac:dyDescent="0.35">
      <c r="B18" s="89" t="s">
        <v>132</v>
      </c>
      <c r="C18" s="95">
        <f>SpeseFisse!C14+SpeseFisse!C17</f>
        <v>0</v>
      </c>
    </row>
    <row r="19" spans="2:3" x14ac:dyDescent="0.35">
      <c r="B19" s="89" t="s">
        <v>133</v>
      </c>
      <c r="C19" s="95">
        <f>RisparmioValore</f>
        <v>0</v>
      </c>
    </row>
    <row r="20" spans="2:3" x14ac:dyDescent="0.35">
      <c r="B20" s="89" t="s">
        <v>134</v>
      </c>
      <c r="C20" s="95">
        <f>TenoreVitaFigli</f>
        <v>0</v>
      </c>
    </row>
    <row r="21" spans="2:3" x14ac:dyDescent="0.35">
      <c r="B21" s="89" t="s">
        <v>19</v>
      </c>
      <c r="C21" s="95">
        <f>MantenimentoDirettoCNC</f>
        <v>0</v>
      </c>
    </row>
    <row r="22" spans="2:3" x14ac:dyDescent="0.35">
      <c r="B22" s="89" t="s">
        <v>20</v>
      </c>
      <c r="C22" s="95">
        <f>MantenimentoDirettoCC</f>
        <v>0</v>
      </c>
    </row>
    <row r="23" spans="2:3" x14ac:dyDescent="0.35">
      <c r="B23" s="89" t="s">
        <v>21</v>
      </c>
      <c r="C23" s="95" t="e">
        <f>CalcoloAssegno!C7</f>
        <v>#DIV/0!</v>
      </c>
    </row>
    <row r="24" spans="2:3" x14ac:dyDescent="0.35">
      <c r="B24" s="89" t="s">
        <v>22</v>
      </c>
      <c r="C24" s="95" t="e">
        <f>CalcoloAssegno!C8</f>
        <v>#DIV/0!</v>
      </c>
    </row>
    <row r="25" spans="2:3" x14ac:dyDescent="0.35">
      <c r="B25" s="89" t="s">
        <v>135</v>
      </c>
      <c r="C25" s="95" t="e">
        <f>PereqSemplice</f>
        <v>#DIV/0!</v>
      </c>
    </row>
    <row r="26" spans="2:3" x14ac:dyDescent="0.35">
      <c r="B26" s="89" t="s">
        <v>136</v>
      </c>
      <c r="C26" s="95" t="e">
        <f>CalcoloAssegno!C13</f>
        <v>#DIV/0!</v>
      </c>
    </row>
    <row r="27" spans="2:3" x14ac:dyDescent="0.35">
      <c r="B27" s="89" t="s">
        <v>139</v>
      </c>
      <c r="C27" s="95" t="e">
        <f>CalcoloAssegno!C15</f>
        <v>#DIV/0!</v>
      </c>
    </row>
    <row r="28" spans="2:3" x14ac:dyDescent="0.35">
      <c r="B28" s="89" t="s">
        <v>137</v>
      </c>
      <c r="C28" s="95" t="e">
        <f>AssegnoEquo</f>
        <v>#DIV/0!</v>
      </c>
    </row>
    <row r="29" spans="2:3" ht="16" x14ac:dyDescent="0.5">
      <c r="B29" s="111" t="s">
        <v>162</v>
      </c>
      <c r="C29" s="131" t="e">
        <f>RIEPILOGO!C6</f>
        <v>#DIV/0!</v>
      </c>
    </row>
    <row r="30" spans="2:3" x14ac:dyDescent="0.35">
      <c r="B30" s="89" t="s">
        <v>105</v>
      </c>
      <c r="C30" s="95" t="e">
        <f>RIEPILOGO!C7</f>
        <v>#DIV/0!</v>
      </c>
    </row>
    <row r="31" spans="2:3" x14ac:dyDescent="0.35">
      <c r="B31" s="89" t="s">
        <v>138</v>
      </c>
      <c r="C31" s="95" t="e">
        <f>RIEPILOGO!C10</f>
        <v>#DIV/0!</v>
      </c>
    </row>
    <row r="32" spans="2:3" x14ac:dyDescent="0.35">
      <c r="B32" s="90" t="s">
        <v>110</v>
      </c>
      <c r="C32" s="95"/>
    </row>
    <row r="33" spans="2:3" x14ac:dyDescent="0.35">
      <c r="B33" s="91" t="s">
        <v>111</v>
      </c>
      <c r="C33" s="95" t="e">
        <f>RIEPILOGO!C14</f>
        <v>#DIV/0!</v>
      </c>
    </row>
    <row r="34" spans="2:3" x14ac:dyDescent="0.35">
      <c r="B34" s="91" t="s">
        <v>112</v>
      </c>
      <c r="C34" s="95" t="e">
        <f>RIEPILOGO!C15</f>
        <v>#DIV/0!</v>
      </c>
    </row>
    <row r="35" spans="2:3" x14ac:dyDescent="0.35">
      <c r="B35" s="109" t="s">
        <v>113</v>
      </c>
      <c r="C35" s="110">
        <f>RIEPILOGO!C18</f>
        <v>0</v>
      </c>
    </row>
    <row r="36" spans="2:3" x14ac:dyDescent="0.35">
      <c r="B36" s="114" t="s">
        <v>149</v>
      </c>
      <c r="C36" s="112" t="e">
        <f>C33+C34+C35</f>
        <v>#DIV/0!</v>
      </c>
    </row>
  </sheetData>
  <sheetProtection algorithmName="SHA-512" hashValue="Wus6HaFQf1cb28YhEHE2o9jqmB8E0gnX/vvciqmHZLm+Iq0s8Q40+s0kO2XWFQaJ3pf4gfLLx6utrzjNlmh/NA==" saltValue="CvR4lOSnn2Cd67Wn1TD7TQ==" spinCount="100000" sheet="1" objects="1" scenarios="1"/>
  <mergeCells count="3">
    <mergeCell ref="B2:C2"/>
    <mergeCell ref="B3:C3"/>
    <mergeCell ref="B4:C4"/>
  </mergeCells>
  <pageMargins left="0.70866141732283472" right="0.70866141732283472" top="0.74803149606299213" bottom="0.74803149606299213" header="0.31496062992125984" footer="0.31496062992125984"/>
  <pageSetup paperSize="9" scale="94"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40</vt:i4>
      </vt:variant>
    </vt:vector>
  </HeadingPairs>
  <TitlesOfParts>
    <vt:vector size="51" baseType="lpstr">
      <vt:lpstr>Copertina</vt:lpstr>
      <vt:lpstr>DatiFamiliari</vt:lpstr>
      <vt:lpstr>RettificaDatiFam</vt:lpstr>
      <vt:lpstr>SpeseFisse</vt:lpstr>
      <vt:lpstr>CostoCasaConiugale</vt:lpstr>
      <vt:lpstr>CostiPostSeparazione</vt:lpstr>
      <vt:lpstr>CalcoloAssegno</vt:lpstr>
      <vt:lpstr>RIEPILOGO</vt:lpstr>
      <vt:lpstr>Stampa</vt:lpstr>
      <vt:lpstr>Quote_Istat</vt:lpstr>
      <vt:lpstr>Fonti</vt:lpstr>
      <vt:lpstr>AffittoCasaConiugale</vt:lpstr>
      <vt:lpstr>Stampa!Area_stampa</vt:lpstr>
      <vt:lpstr>AssegnoEquo</vt:lpstr>
      <vt:lpstr>AssegnoRidet</vt:lpstr>
      <vt:lpstr>CanoneLocCC</vt:lpstr>
      <vt:lpstr>CanoneLocCNC</vt:lpstr>
      <vt:lpstr>CostoAbbigliamento</vt:lpstr>
      <vt:lpstr>CostoCasaConiugale</vt:lpstr>
      <vt:lpstr>CostoCasaConiugaleCC</vt:lpstr>
      <vt:lpstr>CostoCasaConiugaleCNC</vt:lpstr>
      <vt:lpstr>CostoCasaRilevante</vt:lpstr>
      <vt:lpstr>CostoNuovaCasa</vt:lpstr>
      <vt:lpstr>CostoNuovaCasaRilevante</vt:lpstr>
      <vt:lpstr>FreqCC</vt:lpstr>
      <vt:lpstr>FreqCNC</vt:lpstr>
      <vt:lpstr>GodimentoCasaConiugale</vt:lpstr>
      <vt:lpstr>MantenimentoDirettoCC</vt:lpstr>
      <vt:lpstr>MantenimentoDirettoCNC</vt:lpstr>
      <vt:lpstr>MutuoCC</vt:lpstr>
      <vt:lpstr>MutuoCNC</vt:lpstr>
      <vt:lpstr>NumeroFamiliari</vt:lpstr>
      <vt:lpstr>NumeroFigli</vt:lpstr>
      <vt:lpstr>PercSpeseStraord</vt:lpstr>
      <vt:lpstr>PereqSemplice</vt:lpstr>
      <vt:lpstr>RedditoCC</vt:lpstr>
      <vt:lpstr>RedditoCCNow</vt:lpstr>
      <vt:lpstr>RedditoCCValNOW</vt:lpstr>
      <vt:lpstr>RedditoCCValore</vt:lpstr>
      <vt:lpstr>RedditoCNC</vt:lpstr>
      <vt:lpstr>RedditoCNCNow</vt:lpstr>
      <vt:lpstr>RedditoCNCValNOW</vt:lpstr>
      <vt:lpstr>RedditoCNCValore</vt:lpstr>
      <vt:lpstr>RedditoFamAnnuo</vt:lpstr>
      <vt:lpstr>RedditoFamiliare</vt:lpstr>
      <vt:lpstr>RedditoFamiliareNOW</vt:lpstr>
      <vt:lpstr>RisparmioPerc</vt:lpstr>
      <vt:lpstr>RisparmioValore</vt:lpstr>
      <vt:lpstr>SpesaOrdinariaTotale</vt:lpstr>
      <vt:lpstr>SpeseFisse</vt:lpstr>
      <vt:lpstr>TenoreVitaFigli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Lorenzo</dc:creator>
  <cp:lastModifiedBy>Lorenzo Cornia</cp:lastModifiedBy>
  <cp:lastPrinted>2023-03-21T19:32:47Z</cp:lastPrinted>
  <dcterms:created xsi:type="dcterms:W3CDTF">2022-11-26T17:00:39Z</dcterms:created>
  <dcterms:modified xsi:type="dcterms:W3CDTF">2023-05-30T20:20:25Z</dcterms:modified>
</cp:coreProperties>
</file>